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MPRAS\DOCUMENTOS LICITACON\Lic. 49-22\CD LICITAÇÃO 2021\"/>
    </mc:Choice>
  </mc:AlternateContent>
  <bookViews>
    <workbookView xWindow="0" yWindow="0" windowWidth="16380" windowHeight="8190" tabRatio="500" activeTab="1"/>
  </bookViews>
  <sheets>
    <sheet name="Orçamento" sheetId="1" r:id="rId1"/>
    <sheet name="Cronograma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4" i="2" l="1"/>
  <c r="A13" i="2"/>
  <c r="G52" i="1"/>
  <c r="J52" i="1" s="1"/>
  <c r="G51" i="1"/>
  <c r="J51" i="1" s="1"/>
  <c r="F51" i="1"/>
  <c r="J50" i="1"/>
  <c r="I50" i="1" s="1"/>
  <c r="G50" i="1"/>
  <c r="E50" i="1"/>
  <c r="G49" i="1"/>
  <c r="J49" i="1" s="1"/>
  <c r="G48" i="1"/>
  <c r="J48" i="1" s="1"/>
  <c r="G47" i="1"/>
  <c r="J47" i="1" s="1"/>
  <c r="G46" i="1"/>
  <c r="G45" i="1"/>
  <c r="E45" i="1"/>
  <c r="E46" i="1" s="1"/>
  <c r="J46" i="1" s="1"/>
  <c r="G44" i="1"/>
  <c r="J44" i="1" s="1"/>
  <c r="E44" i="1"/>
  <c r="G43" i="1"/>
  <c r="E43" i="1"/>
  <c r="J43" i="1" s="1"/>
  <c r="G42" i="1"/>
  <c r="E42" i="1"/>
  <c r="J42" i="1" s="1"/>
  <c r="G39" i="1"/>
  <c r="J38" i="1"/>
  <c r="G38" i="1"/>
  <c r="I38" i="1" s="1"/>
  <c r="H38" i="1" s="1"/>
  <c r="E38" i="1"/>
  <c r="E39" i="1" s="1"/>
  <c r="J39" i="1" s="1"/>
  <c r="I37" i="1"/>
  <c r="G37" i="1"/>
  <c r="J37" i="1" s="1"/>
  <c r="E37" i="1"/>
  <c r="F36" i="1"/>
  <c r="G36" i="1" s="1"/>
  <c r="E36" i="1"/>
  <c r="I35" i="1"/>
  <c r="H35" i="1"/>
  <c r="G35" i="1"/>
  <c r="E35" i="1"/>
  <c r="J35" i="1" s="1"/>
  <c r="G34" i="1"/>
  <c r="I34" i="1" s="1"/>
  <c r="E34" i="1"/>
  <c r="J34" i="1" s="1"/>
  <c r="G33" i="1"/>
  <c r="E33" i="1"/>
  <c r="J33" i="1" s="1"/>
  <c r="I32" i="1"/>
  <c r="G32" i="1"/>
  <c r="H32" i="1" s="1"/>
  <c r="E32" i="1"/>
  <c r="J32" i="1" s="1"/>
  <c r="J31" i="1"/>
  <c r="G31" i="1"/>
  <c r="I31" i="1" s="1"/>
  <c r="H31" i="1" s="1"/>
  <c r="E31" i="1"/>
  <c r="I30" i="1"/>
  <c r="G30" i="1"/>
  <c r="H30" i="1" s="1"/>
  <c r="E30" i="1"/>
  <c r="J30" i="1" s="1"/>
  <c r="G29" i="1"/>
  <c r="I29" i="1" s="1"/>
  <c r="H29" i="1" s="1"/>
  <c r="E29" i="1"/>
  <c r="J29" i="1" s="1"/>
  <c r="G28" i="1"/>
  <c r="I28" i="1" s="1"/>
  <c r="E28" i="1"/>
  <c r="J28" i="1" s="1"/>
  <c r="G26" i="1"/>
  <c r="I26" i="1" s="1"/>
  <c r="H26" i="1" s="1"/>
  <c r="E26" i="1"/>
  <c r="J26" i="1" s="1"/>
  <c r="I25" i="1"/>
  <c r="G25" i="1"/>
  <c r="H25" i="1" s="1"/>
  <c r="J24" i="1"/>
  <c r="I24" i="1"/>
  <c r="H24" i="1"/>
  <c r="G24" i="1"/>
  <c r="E24" i="1"/>
  <c r="E25" i="1" s="1"/>
  <c r="J25" i="1" s="1"/>
  <c r="I23" i="1"/>
  <c r="G23" i="1"/>
  <c r="H23" i="1" s="1"/>
  <c r="E23" i="1"/>
  <c r="J23" i="1" s="1"/>
  <c r="G22" i="1"/>
  <c r="E22" i="1"/>
  <c r="J22" i="1" s="1"/>
  <c r="G21" i="1"/>
  <c r="I21" i="1" s="1"/>
  <c r="E21" i="1"/>
  <c r="J21" i="1" s="1"/>
  <c r="G20" i="1"/>
  <c r="E20" i="1"/>
  <c r="J20" i="1" s="1"/>
  <c r="G19" i="1"/>
  <c r="E19" i="1"/>
  <c r="J19" i="1" s="1"/>
  <c r="H39" i="1" l="1"/>
  <c r="I39" i="1"/>
  <c r="I43" i="1"/>
  <c r="H43" i="1"/>
  <c r="I52" i="1"/>
  <c r="H52" i="1"/>
  <c r="H19" i="1"/>
  <c r="I19" i="1"/>
  <c r="J36" i="1"/>
  <c r="J40" i="1" s="1"/>
  <c r="D13" i="2" s="1"/>
  <c r="I36" i="1"/>
  <c r="H36" i="1"/>
  <c r="H51" i="1"/>
  <c r="I51" i="1"/>
  <c r="I49" i="1"/>
  <c r="H49" i="1"/>
  <c r="H42" i="1"/>
  <c r="J53" i="1"/>
  <c r="I42" i="1"/>
  <c r="I46" i="1"/>
  <c r="H46" i="1"/>
  <c r="H47" i="1"/>
  <c r="I47" i="1"/>
  <c r="H22" i="1"/>
  <c r="I22" i="1"/>
  <c r="I48" i="1"/>
  <c r="H48" i="1"/>
  <c r="I44" i="1"/>
  <c r="H44" i="1"/>
  <c r="I20" i="1"/>
  <c r="H20" i="1"/>
  <c r="I33" i="1"/>
  <c r="H33" i="1"/>
  <c r="H50" i="1"/>
  <c r="H37" i="1"/>
  <c r="H28" i="1"/>
  <c r="H34" i="1"/>
  <c r="J45" i="1"/>
  <c r="H21" i="1"/>
  <c r="F13" i="2" l="1"/>
  <c r="F15" i="2" s="1"/>
  <c r="D14" i="2"/>
  <c r="J55" i="1"/>
  <c r="I45" i="1"/>
  <c r="H45" i="1"/>
  <c r="F16" i="2" l="1"/>
  <c r="H14" i="2"/>
  <c r="H15" i="2" s="1"/>
  <c r="D15" i="2"/>
  <c r="C13" i="2" s="1"/>
  <c r="C14" i="2" l="1"/>
  <c r="H16" i="2"/>
  <c r="G15" i="2"/>
  <c r="G16" i="2" s="1"/>
  <c r="E15" i="2"/>
  <c r="E16" i="2" s="1"/>
</calcChain>
</file>

<file path=xl/sharedStrings.xml><?xml version="1.0" encoding="utf-8"?>
<sst xmlns="http://schemas.openxmlformats.org/spreadsheetml/2006/main" count="153" uniqueCount="108">
  <si>
    <t>ORÇAMENTO CORPO DE BOMBEIROS DE TRÊS PASSOS</t>
  </si>
  <si>
    <r>
      <rPr>
        <sz val="11"/>
        <rFont val="Times New Roman"/>
        <family val="1"/>
        <charset val="1"/>
      </rPr>
      <t>EMPREENDIMENTO:</t>
    </r>
    <r>
      <rPr>
        <b/>
        <sz val="11"/>
        <rFont val="Times New Roman"/>
        <family val="1"/>
        <charset val="1"/>
      </rPr>
      <t xml:space="preserve">  MURO DE ARRIMO E CERCAMENTO</t>
    </r>
  </si>
  <si>
    <t>PROPRIETÁRIO: CORPO DE BOMBEIROS DE TRÊS PASSOS</t>
  </si>
  <si>
    <t>ENDEREÇO: RUA MARIO TOTA, nº 463</t>
  </si>
  <si>
    <t>ÁREA TOTAL: 97,9 M²</t>
  </si>
  <si>
    <t xml:space="preserve">CUSTO TOTAL: </t>
  </si>
  <si>
    <t>SINAPI 09/2021</t>
  </si>
  <si>
    <t>ENCARGOS SOCIAIS SOBRE PREÇOS DA MÃO-DE-OBRA: 111,10%(HORA) 69,16%(MÊS)</t>
  </si>
  <si>
    <t>BDI 25%</t>
  </si>
  <si>
    <t>ENTORNO/PÁTIO</t>
  </si>
  <si>
    <t>Código SINAPI 09/2021</t>
  </si>
  <si>
    <t>Item</t>
  </si>
  <si>
    <t>Discriminações de Serviços</t>
  </si>
  <si>
    <t>Uni</t>
  </si>
  <si>
    <t>Quantidades (A)</t>
  </si>
  <si>
    <t>Custo Unitário (R$)</t>
  </si>
  <si>
    <t>Material (B)</t>
  </si>
  <si>
    <t>Mão de Obra (C)</t>
  </si>
  <si>
    <t>TOTAL (R$)    D = A x (B+C)</t>
  </si>
  <si>
    <t>1.0 MURO LATERAL</t>
  </si>
  <si>
    <t>1.1 FUNDAÇÃO</t>
  </si>
  <si>
    <t>1.1.1</t>
  </si>
  <si>
    <t xml:space="preserve">ESCAVAÇÃO MANUAL DE VALA PARA VIGA BALDRAME, SEM PREVISÃO DE FÔRMA </t>
  </si>
  <si>
    <t>m³</t>
  </si>
  <si>
    <t>1.1.2</t>
  </si>
  <si>
    <t>ESCAVAÇÃO MANUAL PARA  SAPATA, SEM PREVISÃO DE FÔRMA</t>
  </si>
  <si>
    <t>1.1.3</t>
  </si>
  <si>
    <t>LASTRO COM MATERIAL GRANULAR, APLICAÇÃO EM BLOCOS DE COROAMENTO, ESPESSURA DE *5 CM*.</t>
  </si>
  <si>
    <t>1.1.4</t>
  </si>
  <si>
    <t>ARMAÇÃO DE VIGA BALDRAME E SAPATA UTILIZANDO AÇO CA-50 DE 10 MM – MONTAGEM</t>
  </si>
  <si>
    <t>Kg</t>
  </si>
  <si>
    <t>1.1.5</t>
  </si>
  <si>
    <t>ARMAÇÃO DE VIGA BALDRAME  UTILIZANDO AÇO CA-60 DE 5 MM – MONTAGEM</t>
  </si>
  <si>
    <t>1.1.6</t>
  </si>
  <si>
    <t>CONCRETO FCK = 20MPA, TRAÇO 1:2,7:3 (CIMENTO/ AREIA MÉDIA/ BRITA 1) PREPARO MECÂNICO COM BETONEIRA 400 L (SAPATAS, VIGAS, RABICHO E PILARES)</t>
  </si>
  <si>
    <t>1.1.7</t>
  </si>
  <si>
    <t>LANÇAMENTO COM USO DE BALDES, ADENSAMENTO E ACABAMENTO DE CONCRETO EM ESTRUTURAS</t>
  </si>
  <si>
    <t>1.1.8</t>
  </si>
  <si>
    <t>IMPERMEABILIZAÇÃO DE SUPERFÍCIE COM EMULSÃO ASFÁLTICA, 2 DEMÃOS</t>
  </si>
  <si>
    <t>m²</t>
  </si>
  <si>
    <t>1.2 ESTRUTURA</t>
  </si>
  <si>
    <t>1.2.1</t>
  </si>
  <si>
    <t>ARMAÇÃO DE PILAR OU VIGA DE UMA ESTRUTURA CONVENCIONAL DE CONCRETO ARMADO EM UMA EDIFICAÇÃO TÉRREA OU SOBRADO UTILIZANDO AÇO CA-50 DE 10,0 M M – MONTAGEM</t>
  </si>
  <si>
    <t>1.2.2</t>
  </si>
  <si>
    <t>ARMAÇÃO DE ESTRIBO  DE UMA ESTRUTURA CONVENCIONAL DE CONCRETO ARMADO EM UMA EDIFICAÇÃO TÉRREA OU SOBRADO UTILIZANDO AÇO CA-60 DE 5,0 MM - MONTAGEM</t>
  </si>
  <si>
    <t>1.2.3</t>
  </si>
  <si>
    <t>ALVENARIA DE VEDAÇÃO DE BLOCOS CERÂMICOS MACIÇOS DE 5X10X20CM (ESPESSURA 20CM) E ARGAMASSA DE ASSENTAMENTO COM PREPARO EM BETONEIRA.</t>
  </si>
  <si>
    <t>1.2.4</t>
  </si>
  <si>
    <t>CORTE E DOBRA DE AÇO CA-60, DIÂMETRO DE 5,0 MM, UTILIZADO EM ESTRUTURAS DIVERSAS (AMARRAÇÃO PILARES)</t>
  </si>
  <si>
    <t>1.2.5</t>
  </si>
  <si>
    <t xml:space="preserve">FABRICAÇÃO DE FÔRMA PARA PILARES E ESTRUTURAS SIMILARES, EM MADEIRA SERRADA, E=25 MM </t>
  </si>
  <si>
    <t>1.2.6</t>
  </si>
  <si>
    <t>FABRICAÇÃO DE FÔRMA PARA VIGAS, COM MADEIRA SERRADA, E = 25 MM.</t>
  </si>
  <si>
    <t>1.2.7</t>
  </si>
  <si>
    <t>1.2.8</t>
  </si>
  <si>
    <t>1.2.9</t>
  </si>
  <si>
    <t>IMPERMEABILIZAÇÃO COM LONA PLASTICA EXTRA FORTE PRETA, E = 200 MICRA</t>
  </si>
  <si>
    <t>1.2.10</t>
  </si>
  <si>
    <t>CHAPISCO APLICADO EM ALVENARIA, COM COLHER DE PEDREIRO, ARGAMASSA TRAÇO 1;3 COM PREPARO EM BETONEIRA 400LT</t>
  </si>
  <si>
    <t>1.2.11</t>
  </si>
  <si>
    <t>APLICAÇÃO DE FUNDO SELADOR ACRÍLICO EM PAREDES, UMA DEMÃO</t>
  </si>
  <si>
    <t>1.2.12</t>
  </si>
  <si>
    <t>APLICAÇÃO MANUAL DE PINTURA COM TINTA LÁTEX ACRÍLICA EM PAREDES, DUAS DEMÃOS.</t>
  </si>
  <si>
    <t>TOTAL</t>
  </si>
  <si>
    <t>2.0 CERCAMENTO</t>
  </si>
  <si>
    <t>2.1</t>
  </si>
  <si>
    <t>DEMOLIÇÃO PARCIAL DE PAVIMENTO ASFÁLTICO, DE FORMA MECANIZADA, SEM REAPROVEITAMENTO.</t>
  </si>
  <si>
    <t>2.2</t>
  </si>
  <si>
    <t>DEMOLIÇÃO DE LAJES, DE FORMA MANUAL, SEM REAPROVEITAMENTO</t>
  </si>
  <si>
    <t>2.3</t>
  </si>
  <si>
    <t>2.4</t>
  </si>
  <si>
    <t>2.5</t>
  </si>
  <si>
    <t xml:space="preserve"> </t>
  </si>
  <si>
    <t>2.6</t>
  </si>
  <si>
    <t>PARAFUSO DE ACO TIPO CHUMBADOR PARABOLT, DIAMETRO 1/2", COMPRIMENTO 75 MM</t>
  </si>
  <si>
    <t>uni</t>
  </si>
  <si>
    <t>Pesquisa de Preço</t>
  </si>
  <si>
    <t>2.7</t>
  </si>
  <si>
    <t>CERCAMENTO COM TELA SOLDADA CA 60 5X10 DIAMETRO DE 2,76MM. EM QUADRO DE TUBO METÁLICO 6X6 CM, H=1,90M, COM PILARES METÁLICOS 10X10CM, H = 2,00M</t>
  </si>
  <si>
    <t>2.8</t>
  </si>
  <si>
    <t>INSTALAÇÃO DE MECANISMO DE FECHAMENTO E ABERTURA DE PORTÃO COM CONTROLE REMOTO (PORTÃO ELETRÔNICO) INCLUINDO MATERIAIS DE ATERRAMENTO, CABOS ISOLADOS, MOTOR, ANTENA, 10 CONTROLES REMOTOS E DEMAIS ACESSÓRIOS. DADOS GERIAS 01 TRILHO GUIA DE 4,50 METROS, 03 ROLDANAS EM V DE 4’’, AUTOMATIZAÇÃO COM MOTOR DE ¼ CV/220V, DESLIZANTE PARA PORTÃO DE 4,50 METROS</t>
  </si>
  <si>
    <t>2.9</t>
  </si>
  <si>
    <t>PINTURA COM TINTA ACRÍLICA DE ACABAMENTO PULVERIZADA SOBRE SUPERFÍCIES METÁLICAS (EXCETO PERFIL) EXECUTADO EM OBRA (02 DEMÃOS)</t>
  </si>
  <si>
    <t>Pesquisa de preço</t>
  </si>
  <si>
    <t>2.10</t>
  </si>
  <si>
    <t>CARGA MANUAL DE ENTULHO EM CAÇAMBA DE 5M³</t>
  </si>
  <si>
    <t>2.11</t>
  </si>
  <si>
    <t>LIMPEZA DE CONTRAPISO COM VASSOURA A SECO</t>
  </si>
  <si>
    <t>TOTAL FINAL</t>
  </si>
  <si>
    <t>Três Passos, 04 de novembro de 2021</t>
  </si>
  <si>
    <t>____________________________________________</t>
  </si>
  <si>
    <t xml:space="preserve"> Eng. Civil Camila Mertz Sousa </t>
  </si>
  <si>
    <t xml:space="preserve"> Eng. Eletricista Ronaldo Funchal</t>
  </si>
  <si>
    <t>CREA 231477</t>
  </si>
  <si>
    <t>CREA 46 943 – D</t>
  </si>
  <si>
    <t>CRONOGRAMA FÍSICO/FINANCEIRO CORPO DE BOMBEIROS DE TRÊS PASSOS</t>
  </si>
  <si>
    <r>
      <rPr>
        <sz val="10"/>
        <rFont val="Times New Roman"/>
        <family val="1"/>
        <charset val="1"/>
      </rPr>
      <t>EMPREENDIMENTO:</t>
    </r>
    <r>
      <rPr>
        <b/>
        <sz val="10"/>
        <rFont val="Times New Roman"/>
        <family val="1"/>
        <charset val="1"/>
      </rPr>
      <t xml:space="preserve"> MURO DE ARRIMO E CERCAMENTO</t>
    </r>
  </si>
  <si>
    <t>CRONOGRAMA DE DESEMBOLSO</t>
  </si>
  <si>
    <t>Projetos / Mês</t>
  </si>
  <si>
    <t>%</t>
  </si>
  <si>
    <t>Total / Serviços</t>
  </si>
  <si>
    <t>1º mês</t>
  </si>
  <si>
    <t>2º mês</t>
  </si>
  <si>
    <t>REFORMA</t>
  </si>
  <si>
    <t>TOTAL ACUMULADO</t>
  </si>
  <si>
    <t>Três Passos, 04 de Novembro de 2021</t>
  </si>
  <si>
    <t>___________________________</t>
  </si>
  <si>
    <t>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</si>
</sst>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[$R$-416]\ #,##0.00;[Red]\-[$R$-416]\ #,##0.00"/>
    <numFmt numFmtId="166" formatCode="_-* #,##0.00_-;\-* #,##0.00_-;_-* \-??_-;_-@_-"/>
  </numFmts>
  <fonts count="17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9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b/>
      <sz val="10"/>
      <name val="Times New Roman"/>
      <family val="1"/>
      <charset val="1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93CDDD"/>
        <bgColor rgb="FF8EB4E3"/>
      </patternFill>
    </fill>
    <fill>
      <patternFill patternType="solid">
        <fgColor rgb="FF8EB4E3"/>
        <bgColor rgb="FF93CDDD"/>
      </patternFill>
    </fill>
    <fill>
      <patternFill patternType="solid">
        <fgColor rgb="FFDEE6EF"/>
        <bgColor rgb="FFFFE5FF"/>
      </patternFill>
    </fill>
    <fill>
      <patternFill patternType="solid">
        <fgColor rgb="FFFFE5FF"/>
        <bgColor rgb="FFDEE6EF"/>
      </patternFill>
    </fill>
    <fill>
      <patternFill patternType="solid">
        <fgColor rgb="FFFFFFFF"/>
        <bgColor rgb="FFFFE5FF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166" fontId="16" fillId="0" borderId="0" applyBorder="0" applyProtection="0"/>
    <xf numFmtId="9" fontId="16" fillId="0" borderId="0" applyBorder="0" applyProtection="0"/>
    <xf numFmtId="0" fontId="1" fillId="0" borderId="0"/>
    <xf numFmtId="9" fontId="16" fillId="0" borderId="0" applyBorder="0" applyProtection="0"/>
    <xf numFmtId="164" fontId="16" fillId="0" borderId="0" applyBorder="0" applyProtection="0"/>
    <xf numFmtId="164" fontId="16" fillId="0" borderId="0" applyBorder="0" applyProtection="0"/>
  </cellStyleXfs>
  <cellXfs count="60">
    <xf numFmtId="0" fontId="0" fillId="0" borderId="0" xfId="0"/>
    <xf numFmtId="0" fontId="10" fillId="0" borderId="3" xfId="3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4" fillId="0" borderId="2" xfId="3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 vertical="center" wrapText="1"/>
    </xf>
    <xf numFmtId="2" fontId="0" fillId="0" borderId="0" xfId="0" applyNumberFormat="1"/>
    <xf numFmtId="0" fontId="6" fillId="0" borderId="2" xfId="0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8" fillId="5" borderId="2" xfId="0" applyNumberFormat="1" applyFont="1" applyFill="1" applyBorder="1" applyAlignment="1">
      <alignment horizontal="center" vertical="center"/>
    </xf>
    <xf numFmtId="165" fontId="8" fillId="5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4" fillId="6" borderId="3" xfId="0" applyFont="1" applyFill="1" applyBorder="1" applyAlignment="1">
      <alignment horizontal="center"/>
    </xf>
    <xf numFmtId="2" fontId="10" fillId="6" borderId="2" xfId="2" applyNumberFormat="1" applyFont="1" applyFill="1" applyBorder="1" applyAlignment="1" applyProtection="1">
      <alignment horizontal="center"/>
    </xf>
    <xf numFmtId="165" fontId="10" fillId="0" borderId="2" xfId="1" applyNumberFormat="1" applyFont="1" applyBorder="1" applyAlignment="1" applyProtection="1">
      <alignment horizontal="center" vertical="center"/>
    </xf>
    <xf numFmtId="10" fontId="10" fillId="6" borderId="2" xfId="2" applyNumberFormat="1" applyFont="1" applyFill="1" applyBorder="1" applyAlignment="1" applyProtection="1">
      <alignment horizontal="center"/>
    </xf>
    <xf numFmtId="2" fontId="10" fillId="6" borderId="2" xfId="1" applyNumberFormat="1" applyFont="1" applyFill="1" applyBorder="1" applyAlignment="1" applyProtection="1">
      <alignment horizontal="center" vertical="center"/>
    </xf>
    <xf numFmtId="0" fontId="10" fillId="6" borderId="2" xfId="2" applyNumberFormat="1" applyFont="1" applyFill="1" applyBorder="1" applyAlignment="1" applyProtection="1">
      <alignment horizontal="center"/>
    </xf>
    <xf numFmtId="164" fontId="10" fillId="6" borderId="2" xfId="1" applyNumberFormat="1" applyFont="1" applyFill="1" applyBorder="1" applyAlignment="1" applyProtection="1">
      <alignment horizontal="center" vertical="center"/>
    </xf>
    <xf numFmtId="165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6" fillId="0" borderId="2" xfId="0" applyFont="1" applyBorder="1"/>
    <xf numFmtId="10" fontId="6" fillId="0" borderId="2" xfId="0" applyNumberFormat="1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0" fontId="15" fillId="0" borderId="0" xfId="0" applyFont="1"/>
    <xf numFmtId="2" fontId="15" fillId="0" borderId="0" xfId="0" applyNumberFormat="1" applyFont="1"/>
    <xf numFmtId="0" fontId="15" fillId="0" borderId="0" xfId="0" applyFont="1" applyAlignment="1"/>
    <xf numFmtId="0" fontId="14" fillId="6" borderId="3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7">
    <cellStyle name="Normal" xfId="0" builtinId="0"/>
    <cellStyle name="Normal 2" xfId="3"/>
    <cellStyle name="Porcentagem" xfId="2" builtinId="5"/>
    <cellStyle name="Porcentagem 2" xfId="4"/>
    <cellStyle name="Separador de milhares 2" xfId="5"/>
    <cellStyle name="Vírgula" xfId="1" builtinId="3"/>
    <cellStyle name="Vírgula 2" xfId="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EB4E3"/>
      <rgbColor rgb="FF993366"/>
      <rgbColor rgb="FFFFE5FF"/>
      <rgbColor rgb="FFDEE6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1137960</xdr:colOff>
      <xdr:row>0</xdr:row>
      <xdr:rowOff>9360</xdr:rowOff>
    </xdr:from>
    <xdr:to>
      <xdr:col>6</xdr:col>
      <xdr:colOff>540360</xdr:colOff>
      <xdr:row>4</xdr:row>
      <xdr:rowOff>75600</xdr:rowOff>
    </xdr:to>
    <xdr:pic>
      <xdr:nvPicPr>
        <xdr:cNvPr id="2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2146680" y="9360"/>
          <a:ext cx="4176360" cy="767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324720</xdr:colOff>
      <xdr:row>0</xdr:row>
      <xdr:rowOff>0</xdr:rowOff>
    </xdr:from>
    <xdr:to>
      <xdr:col>6</xdr:col>
      <xdr:colOff>396360</xdr:colOff>
      <xdr:row>4</xdr:row>
      <xdr:rowOff>110880</xdr:rowOff>
    </xdr:to>
    <xdr:pic>
      <xdr:nvPicPr>
        <xdr:cNvPr id="2" name="Figura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936000" y="0"/>
          <a:ext cx="4705200" cy="8118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1"/>
  <sheetViews>
    <sheetView topLeftCell="A49" zoomScaleNormal="100" workbookViewId="0">
      <selection activeCell="C50" sqref="C50"/>
    </sheetView>
  </sheetViews>
  <sheetFormatPr defaultRowHeight="15" x14ac:dyDescent="0.25"/>
  <cols>
    <col min="1" max="1" width="8.7109375" customWidth="1"/>
    <col min="2" max="2" width="5.5703125" customWidth="1"/>
    <col min="3" max="3" width="38.5703125" customWidth="1"/>
    <col min="4" max="4" width="8.7109375" customWidth="1"/>
    <col min="5" max="5" width="10.5703125" customWidth="1"/>
    <col min="6" max="6" width="9.85546875" customWidth="1"/>
    <col min="7" max="7" width="10.85546875" customWidth="1"/>
    <col min="8" max="8" width="9.85546875" customWidth="1"/>
    <col min="9" max="9" width="9.42578125" customWidth="1"/>
    <col min="10" max="10" width="13" customWidth="1"/>
    <col min="11" max="11" width="12" customWidth="1"/>
    <col min="12" max="12" width="8.7109375" customWidth="1"/>
    <col min="13" max="13" width="47.42578125" customWidth="1"/>
    <col min="14" max="1025" width="8.7109375" customWidth="1"/>
  </cols>
  <sheetData>
    <row r="1" spans="1:1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5"/>
      <c r="L1" s="15"/>
      <c r="M1" s="15"/>
      <c r="N1" s="15"/>
      <c r="O1" s="15"/>
    </row>
    <row r="2" spans="1:15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5"/>
      <c r="L2" s="15"/>
      <c r="M2" s="15"/>
      <c r="N2" s="15"/>
      <c r="O2" s="15"/>
    </row>
    <row r="3" spans="1:1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5"/>
      <c r="L3" s="15"/>
      <c r="M3" s="15"/>
      <c r="N3" s="15"/>
      <c r="O3" s="15"/>
    </row>
    <row r="4" spans="1:15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5"/>
      <c r="L4" s="15"/>
      <c r="M4" s="15"/>
      <c r="N4" s="15"/>
      <c r="O4" s="15"/>
    </row>
    <row r="5" spans="1:15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5"/>
      <c r="L5" s="15"/>
      <c r="M5" s="15"/>
      <c r="N5" s="15"/>
      <c r="O5" s="15"/>
    </row>
    <row r="6" spans="1:15" x14ac:dyDescent="0.25">
      <c r="A6" s="13" t="s">
        <v>0</v>
      </c>
      <c r="B6" s="13"/>
      <c r="C6" s="13"/>
      <c r="D6" s="13"/>
      <c r="E6" s="13"/>
      <c r="F6" s="13"/>
      <c r="G6" s="13"/>
      <c r="H6" s="13"/>
      <c r="I6" s="13"/>
      <c r="J6" s="13"/>
      <c r="K6" s="15"/>
      <c r="L6" s="15"/>
      <c r="M6" s="15"/>
      <c r="N6" s="15"/>
      <c r="O6" s="15"/>
    </row>
    <row r="7" spans="1:15" x14ac:dyDescent="0.25">
      <c r="A7" s="12" t="s">
        <v>1</v>
      </c>
      <c r="B7" s="12"/>
      <c r="C7" s="12"/>
      <c r="D7" s="12"/>
      <c r="E7" s="12"/>
      <c r="F7" s="12"/>
      <c r="G7" s="12"/>
      <c r="H7" s="12"/>
      <c r="I7" s="12"/>
      <c r="J7" s="12"/>
      <c r="K7" s="16"/>
      <c r="L7" s="15"/>
      <c r="M7" s="15"/>
      <c r="N7" s="15"/>
      <c r="O7" s="15"/>
    </row>
    <row r="8" spans="1:15" x14ac:dyDescent="0.25">
      <c r="A8" s="12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6"/>
      <c r="L8" s="15"/>
      <c r="M8" s="15"/>
      <c r="N8" s="15"/>
      <c r="O8" s="15"/>
    </row>
    <row r="9" spans="1:15" x14ac:dyDescent="0.25">
      <c r="A9" s="12" t="s">
        <v>3</v>
      </c>
      <c r="B9" s="12"/>
      <c r="C9" s="12"/>
      <c r="D9" s="12"/>
      <c r="E9" s="12"/>
      <c r="F9" s="12"/>
      <c r="G9" s="12"/>
      <c r="H9" s="12"/>
      <c r="I9" s="12"/>
      <c r="J9" s="12"/>
      <c r="K9" s="16"/>
      <c r="L9" s="15"/>
      <c r="M9" s="15"/>
      <c r="N9" s="15"/>
      <c r="O9" s="15"/>
    </row>
    <row r="10" spans="1:15" x14ac:dyDescent="0.25">
      <c r="A10" s="11" t="s">
        <v>4</v>
      </c>
      <c r="B10" s="11"/>
      <c r="C10" s="11"/>
      <c r="D10" s="11"/>
      <c r="E10" s="11"/>
      <c r="F10" s="11"/>
      <c r="G10" s="11"/>
      <c r="H10" s="11"/>
      <c r="I10" s="11"/>
      <c r="J10" s="11"/>
      <c r="K10" s="16"/>
      <c r="L10" s="15"/>
      <c r="M10" s="15"/>
      <c r="N10" s="15"/>
      <c r="O10" s="15"/>
    </row>
    <row r="11" spans="1:15" x14ac:dyDescent="0.25">
      <c r="A11" s="11" t="s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6"/>
      <c r="L11" s="15"/>
      <c r="M11" s="15"/>
      <c r="N11" s="15"/>
      <c r="O11" s="15"/>
    </row>
    <row r="12" spans="1:15" x14ac:dyDescent="0.25">
      <c r="A12" s="10" t="s">
        <v>6</v>
      </c>
      <c r="B12" s="10"/>
      <c r="C12" s="10"/>
      <c r="D12" s="10"/>
      <c r="E12" s="10"/>
      <c r="F12" s="10"/>
      <c r="G12" s="10"/>
      <c r="H12" s="10"/>
      <c r="I12" s="10"/>
      <c r="J12" s="10"/>
      <c r="K12" s="16"/>
      <c r="L12" s="15"/>
      <c r="M12" s="15"/>
      <c r="N12" s="15"/>
      <c r="O12" s="15"/>
    </row>
    <row r="13" spans="1:15" x14ac:dyDescent="0.25">
      <c r="A13" s="10" t="s">
        <v>7</v>
      </c>
      <c r="B13" s="10"/>
      <c r="C13" s="10"/>
      <c r="D13" s="10"/>
      <c r="E13" s="10"/>
      <c r="F13" s="10"/>
      <c r="G13" s="10"/>
      <c r="H13" s="10"/>
      <c r="I13" s="10"/>
      <c r="J13" s="10"/>
      <c r="K13" s="16"/>
      <c r="L13" s="15"/>
      <c r="M13" s="15"/>
      <c r="N13" s="15"/>
      <c r="O13" s="15"/>
    </row>
    <row r="14" spans="1:15" x14ac:dyDescent="0.25">
      <c r="A14" s="10" t="s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16"/>
      <c r="L14" s="15"/>
      <c r="M14" s="15"/>
      <c r="N14" s="15"/>
      <c r="O14" s="15"/>
    </row>
    <row r="15" spans="1:15" ht="30" customHeight="1" x14ac:dyDescent="0.25">
      <c r="A15" s="9" t="s">
        <v>9</v>
      </c>
      <c r="B15" s="9"/>
      <c r="C15" s="9"/>
      <c r="D15" s="9"/>
      <c r="E15" s="9"/>
      <c r="F15" s="9"/>
      <c r="G15" s="9"/>
      <c r="H15" s="9"/>
      <c r="I15" s="9"/>
      <c r="J15" s="9"/>
      <c r="L15" s="15"/>
      <c r="M15" s="15"/>
      <c r="N15" s="15"/>
      <c r="O15" s="15"/>
    </row>
    <row r="16" spans="1:15" ht="41.25" customHeight="1" x14ac:dyDescent="0.25">
      <c r="A16" s="17" t="s">
        <v>10</v>
      </c>
      <c r="B16" s="17" t="s">
        <v>11</v>
      </c>
      <c r="C16" s="17" t="s">
        <v>12</v>
      </c>
      <c r="D16" s="17" t="s">
        <v>13</v>
      </c>
      <c r="E16" s="17" t="s">
        <v>14</v>
      </c>
      <c r="F16" s="17" t="s">
        <v>15</v>
      </c>
      <c r="G16" s="17" t="s">
        <v>8</v>
      </c>
      <c r="H16" s="17" t="s">
        <v>16</v>
      </c>
      <c r="I16" s="17" t="s">
        <v>17</v>
      </c>
      <c r="J16" s="17" t="s">
        <v>18</v>
      </c>
      <c r="L16" s="15"/>
      <c r="M16" s="15"/>
      <c r="N16" s="15"/>
      <c r="O16" s="15"/>
    </row>
    <row r="17" spans="1:15" x14ac:dyDescent="0.25">
      <c r="A17" s="8" t="s">
        <v>19</v>
      </c>
      <c r="B17" s="8"/>
      <c r="C17" s="8"/>
      <c r="D17" s="8"/>
      <c r="E17" s="8"/>
      <c r="F17" s="8"/>
      <c r="G17" s="8"/>
      <c r="H17" s="8"/>
      <c r="I17" s="8"/>
      <c r="J17" s="8"/>
      <c r="K17" s="18"/>
      <c r="L17" s="15"/>
      <c r="M17" s="15"/>
      <c r="N17" s="15"/>
      <c r="O17" s="15"/>
    </row>
    <row r="18" spans="1:15" x14ac:dyDescent="0.25">
      <c r="A18" s="7" t="s">
        <v>20</v>
      </c>
      <c r="B18" s="7"/>
      <c r="C18" s="7"/>
      <c r="D18" s="7"/>
      <c r="E18" s="7"/>
      <c r="F18" s="7"/>
      <c r="G18" s="7"/>
      <c r="H18" s="7"/>
      <c r="I18" s="7"/>
      <c r="J18" s="7"/>
      <c r="K18" s="18"/>
      <c r="L18" s="15"/>
      <c r="M18" s="15"/>
      <c r="N18" s="15"/>
      <c r="O18" s="15"/>
    </row>
    <row r="19" spans="1:15" ht="38.25" x14ac:dyDescent="0.25">
      <c r="A19" s="19">
        <v>96526</v>
      </c>
      <c r="B19" s="19" t="s">
        <v>21</v>
      </c>
      <c r="C19" s="20" t="s">
        <v>22</v>
      </c>
      <c r="D19" s="21" t="s">
        <v>23</v>
      </c>
      <c r="E19" s="21">
        <f>16.5*0.2*0.3</f>
        <v>0.99</v>
      </c>
      <c r="F19" s="22">
        <v>258.02</v>
      </c>
      <c r="G19" s="22">
        <f t="shared" ref="G19:G26" si="0">(F19*1.25)</f>
        <v>322.52499999999998</v>
      </c>
      <c r="H19" s="23">
        <f>J19*0.6</f>
        <v>191.58281999999997</v>
      </c>
      <c r="I19" s="23">
        <f>J19*0.4</f>
        <v>127.72188</v>
      </c>
      <c r="J19" s="24">
        <f t="shared" ref="J19:J26" si="1">ROUND(E19,2)*(ROUND(G19,2))</f>
        <v>319.30469999999997</v>
      </c>
      <c r="K19" s="18"/>
      <c r="L19" s="15"/>
      <c r="M19" s="15"/>
      <c r="N19" s="15"/>
      <c r="O19" s="15"/>
    </row>
    <row r="20" spans="1:15" ht="25.5" x14ac:dyDescent="0.25">
      <c r="A20" s="19">
        <v>96522</v>
      </c>
      <c r="B20" s="19" t="s">
        <v>24</v>
      </c>
      <c r="C20" s="20" t="s">
        <v>25</v>
      </c>
      <c r="D20" s="21" t="s">
        <v>23</v>
      </c>
      <c r="E20" s="21">
        <f>(0.6*0.6*0.6*9)+(0.5*0.5*0.5*8)</f>
        <v>2.944</v>
      </c>
      <c r="F20" s="22">
        <v>127.98</v>
      </c>
      <c r="G20" s="25">
        <f t="shared" si="0"/>
        <v>159.97499999999999</v>
      </c>
      <c r="H20" s="21">
        <f>J20*0.6</f>
        <v>282.20471999999995</v>
      </c>
      <c r="I20" s="21">
        <f>J20*0.4</f>
        <v>188.13648000000001</v>
      </c>
      <c r="J20" s="24">
        <f t="shared" si="1"/>
        <v>470.34119999999996</v>
      </c>
      <c r="K20" s="18"/>
      <c r="L20" s="15"/>
      <c r="M20" s="15"/>
      <c r="N20" s="15"/>
      <c r="O20" s="15"/>
    </row>
    <row r="21" spans="1:15" ht="38.25" x14ac:dyDescent="0.25">
      <c r="A21" s="19">
        <v>96621</v>
      </c>
      <c r="B21" s="19" t="s">
        <v>26</v>
      </c>
      <c r="C21" s="17" t="s">
        <v>27</v>
      </c>
      <c r="D21" s="26" t="s">
        <v>23</v>
      </c>
      <c r="E21" s="26">
        <f>(0.6*0.6*0.05*9)+(0.5*0.5*0.05*8)</f>
        <v>0.26200000000000001</v>
      </c>
      <c r="F21" s="22">
        <v>163.28</v>
      </c>
      <c r="G21" s="27">
        <f t="shared" si="0"/>
        <v>204.1</v>
      </c>
      <c r="H21" s="26">
        <f>(G21-I21)</f>
        <v>122.46</v>
      </c>
      <c r="I21" s="26">
        <f>(G21*0.4)</f>
        <v>81.64</v>
      </c>
      <c r="J21" s="24">
        <f t="shared" si="1"/>
        <v>53.066000000000003</v>
      </c>
      <c r="K21" s="18"/>
      <c r="L21" s="15"/>
      <c r="M21" s="15"/>
      <c r="N21" s="15"/>
      <c r="O21" s="15"/>
    </row>
    <row r="22" spans="1:15" ht="38.25" x14ac:dyDescent="0.25">
      <c r="A22" s="19">
        <v>96546</v>
      </c>
      <c r="B22" s="19" t="s">
        <v>28</v>
      </c>
      <c r="C22" s="17" t="s">
        <v>29</v>
      </c>
      <c r="D22" s="21" t="s">
        <v>30</v>
      </c>
      <c r="E22" s="21">
        <f>((2*10*0.63)*9)+((1.82*9*0.63)*8)+(4*16.5*0.63)</f>
        <v>237.53519999999997</v>
      </c>
      <c r="F22" s="22">
        <v>15.34</v>
      </c>
      <c r="G22" s="25">
        <f t="shared" si="0"/>
        <v>19.175000000000001</v>
      </c>
      <c r="H22" s="21">
        <f>J22*0.6</f>
        <v>2733.6103200000002</v>
      </c>
      <c r="I22" s="21">
        <f>J22*0.4</f>
        <v>1822.4068800000002</v>
      </c>
      <c r="J22" s="24">
        <f t="shared" si="1"/>
        <v>4556.0172000000002</v>
      </c>
      <c r="K22" s="18"/>
      <c r="L22" s="15"/>
      <c r="M22" s="15"/>
      <c r="N22" s="15"/>
      <c r="O22" s="15"/>
    </row>
    <row r="23" spans="1:15" ht="38.25" x14ac:dyDescent="0.25">
      <c r="A23" s="19">
        <v>96543</v>
      </c>
      <c r="B23" s="19" t="s">
        <v>31</v>
      </c>
      <c r="C23" s="17" t="s">
        <v>32</v>
      </c>
      <c r="D23" s="19" t="s">
        <v>30</v>
      </c>
      <c r="E23" s="26">
        <f>((16.5/0.15)*0.93*0.16)</f>
        <v>16.368000000000002</v>
      </c>
      <c r="F23" s="22">
        <v>18.940000000000001</v>
      </c>
      <c r="G23" s="25">
        <f t="shared" si="0"/>
        <v>23.675000000000001</v>
      </c>
      <c r="H23" s="21">
        <f>(G23-I23)</f>
        <v>14.205</v>
      </c>
      <c r="I23" s="21">
        <f>(G23*0.4)</f>
        <v>9.4700000000000006</v>
      </c>
      <c r="J23" s="24">
        <f t="shared" si="1"/>
        <v>387.64160000000004</v>
      </c>
      <c r="K23" s="18"/>
      <c r="L23" s="15"/>
      <c r="M23" s="15"/>
      <c r="N23" s="15"/>
      <c r="O23" s="15"/>
    </row>
    <row r="24" spans="1:15" ht="51" x14ac:dyDescent="0.25">
      <c r="A24" s="19">
        <v>94964</v>
      </c>
      <c r="B24" s="19" t="s">
        <v>33</v>
      </c>
      <c r="C24" s="17" t="s">
        <v>34</v>
      </c>
      <c r="D24" s="21" t="s">
        <v>23</v>
      </c>
      <c r="E24" s="21">
        <f>(16.5*0.2*0.3)+(0.6*0.6*0.6*9)+(0.5*0.5*0.5*8)</f>
        <v>3.9340000000000002</v>
      </c>
      <c r="F24" s="22">
        <v>384.64</v>
      </c>
      <c r="G24" s="25">
        <f t="shared" si="0"/>
        <v>480.79999999999995</v>
      </c>
      <c r="H24" s="21">
        <f>(G24-I24)</f>
        <v>288.47999999999996</v>
      </c>
      <c r="I24" s="21">
        <f>(G24*0.4)</f>
        <v>192.32</v>
      </c>
      <c r="J24" s="24">
        <f t="shared" si="1"/>
        <v>1889.5440000000001</v>
      </c>
      <c r="K24" s="18"/>
      <c r="L24" s="15"/>
      <c r="M24" s="15"/>
      <c r="N24" s="15"/>
      <c r="O24" s="15"/>
    </row>
    <row r="25" spans="1:15" ht="38.25" x14ac:dyDescent="0.25">
      <c r="A25" s="19">
        <v>92873</v>
      </c>
      <c r="B25" s="19" t="s">
        <v>35</v>
      </c>
      <c r="C25" s="17" t="s">
        <v>36</v>
      </c>
      <c r="D25" s="21" t="s">
        <v>23</v>
      </c>
      <c r="E25" s="21">
        <f>E24</f>
        <v>3.9340000000000002</v>
      </c>
      <c r="F25" s="22">
        <v>184.16</v>
      </c>
      <c r="G25" s="25">
        <f t="shared" si="0"/>
        <v>230.2</v>
      </c>
      <c r="H25" s="21">
        <f>(G25-I25)</f>
        <v>138.12</v>
      </c>
      <c r="I25" s="21">
        <f>(G25*0.4)</f>
        <v>92.08</v>
      </c>
      <c r="J25" s="24">
        <f t="shared" si="1"/>
        <v>904.68600000000004</v>
      </c>
      <c r="K25" s="18"/>
      <c r="L25" s="15"/>
      <c r="M25" s="15"/>
      <c r="N25" s="15"/>
      <c r="O25" s="15"/>
    </row>
    <row r="26" spans="1:15" ht="25.5" x14ac:dyDescent="0.25">
      <c r="A26" s="19">
        <v>98557</v>
      </c>
      <c r="B26" s="19" t="s">
        <v>37</v>
      </c>
      <c r="C26" s="17" t="s">
        <v>38</v>
      </c>
      <c r="D26" s="21" t="s">
        <v>39</v>
      </c>
      <c r="E26" s="21">
        <f>(16.5*0.2)+(16.5*0.3*2)</f>
        <v>13.200000000000001</v>
      </c>
      <c r="F26" s="22">
        <v>41.77</v>
      </c>
      <c r="G26" s="25">
        <f t="shared" si="0"/>
        <v>52.212500000000006</v>
      </c>
      <c r="H26" s="21">
        <f>(G26-I26)</f>
        <v>31.327500000000001</v>
      </c>
      <c r="I26" s="21">
        <f>(G26*0.4)</f>
        <v>20.885000000000005</v>
      </c>
      <c r="J26" s="24">
        <f t="shared" si="1"/>
        <v>689.17200000000003</v>
      </c>
      <c r="K26" s="18"/>
      <c r="L26" s="15"/>
      <c r="M26" s="15"/>
      <c r="N26" s="15"/>
      <c r="O26" s="15"/>
    </row>
    <row r="27" spans="1:15" x14ac:dyDescent="0.25">
      <c r="A27" s="7" t="s">
        <v>40</v>
      </c>
      <c r="B27" s="7"/>
      <c r="C27" s="7"/>
      <c r="D27" s="7"/>
      <c r="E27" s="7"/>
      <c r="F27" s="7"/>
      <c r="G27" s="7"/>
      <c r="H27" s="7"/>
      <c r="I27" s="7"/>
      <c r="J27" s="7"/>
      <c r="K27" s="18"/>
      <c r="L27" s="15"/>
      <c r="M27" s="15"/>
      <c r="N27" s="15"/>
      <c r="O27" s="15"/>
    </row>
    <row r="28" spans="1:15" ht="76.5" x14ac:dyDescent="0.25">
      <c r="A28" s="19">
        <v>92778</v>
      </c>
      <c r="B28" s="19" t="s">
        <v>41</v>
      </c>
      <c r="C28" s="17" t="s">
        <v>42</v>
      </c>
      <c r="D28" s="19" t="s">
        <v>30</v>
      </c>
      <c r="E28" s="26">
        <f>((4*2.3*0.63)*9)+(4*2.2*0.63*8)+(4*16.5*0.63)</f>
        <v>138.096</v>
      </c>
      <c r="F28" s="22">
        <v>15.27</v>
      </c>
      <c r="G28" s="25">
        <f t="shared" ref="G28:G38" si="2">(F28*1.25)</f>
        <v>19.087499999999999</v>
      </c>
      <c r="H28" s="21">
        <f>(G28-I28)</f>
        <v>11.452499999999999</v>
      </c>
      <c r="I28" s="21">
        <f>(G28*0.4)</f>
        <v>7.6349999999999998</v>
      </c>
      <c r="J28" s="24">
        <f t="shared" ref="J28:J39" si="3">ROUND(E28,2)*(ROUND(G28,2))</f>
        <v>2636.3289999999997</v>
      </c>
      <c r="K28" s="18"/>
      <c r="L28" s="15"/>
      <c r="M28" s="15"/>
      <c r="N28" s="15"/>
      <c r="O28" s="15"/>
    </row>
    <row r="29" spans="1:15" ht="76.5" x14ac:dyDescent="0.25">
      <c r="A29" s="19">
        <v>92775</v>
      </c>
      <c r="B29" s="19" t="s">
        <v>43</v>
      </c>
      <c r="C29" s="17" t="s">
        <v>44</v>
      </c>
      <c r="D29" s="19" t="s">
        <v>30</v>
      </c>
      <c r="E29" s="26">
        <f>((18.9/0.15)*0.73*0.16)+((14.4/0.15)*0.93*0.16)+((16.5/0.15)*0.93*0.16)</f>
        <v>45.369600000000005</v>
      </c>
      <c r="F29" s="22">
        <v>19.07</v>
      </c>
      <c r="G29" s="25">
        <f t="shared" si="2"/>
        <v>23.837499999999999</v>
      </c>
      <c r="H29" s="21">
        <f>(G29-I29)</f>
        <v>14.302499999999998</v>
      </c>
      <c r="I29" s="21">
        <f>(G29*0.4)</f>
        <v>9.5350000000000001</v>
      </c>
      <c r="J29" s="24">
        <f t="shared" si="3"/>
        <v>1081.6207999999999</v>
      </c>
      <c r="K29" s="18"/>
      <c r="L29" s="15"/>
      <c r="M29" s="15"/>
      <c r="N29" s="15"/>
      <c r="O29" s="15"/>
    </row>
    <row r="30" spans="1:15" ht="63.75" x14ac:dyDescent="0.25">
      <c r="A30" s="19">
        <v>101159</v>
      </c>
      <c r="B30" s="19" t="s">
        <v>45</v>
      </c>
      <c r="C30" s="17" t="s">
        <v>46</v>
      </c>
      <c r="D30" s="26" t="s">
        <v>39</v>
      </c>
      <c r="E30" s="26">
        <f>((2.2*1.9*7)+(1.1*1.9))*2</f>
        <v>62.699999999999996</v>
      </c>
      <c r="F30" s="22">
        <v>122.63</v>
      </c>
      <c r="G30" s="27">
        <f t="shared" si="2"/>
        <v>153.28749999999999</v>
      </c>
      <c r="H30" s="26">
        <f>(G30-I30)</f>
        <v>91.972499999999997</v>
      </c>
      <c r="I30" s="26">
        <f>(G30*0.4)</f>
        <v>61.314999999999998</v>
      </c>
      <c r="J30" s="24">
        <f t="shared" si="3"/>
        <v>9611.2829999999994</v>
      </c>
      <c r="L30" s="15"/>
      <c r="M30" s="15"/>
      <c r="N30" s="15"/>
      <c r="O30" s="15"/>
    </row>
    <row r="31" spans="1:15" ht="38.25" x14ac:dyDescent="0.25">
      <c r="A31" s="19">
        <v>92791</v>
      </c>
      <c r="B31" s="19" t="s">
        <v>47</v>
      </c>
      <c r="C31" s="17" t="s">
        <v>48</v>
      </c>
      <c r="D31" s="21" t="s">
        <v>30</v>
      </c>
      <c r="E31" s="26">
        <f>((0.6*0.63)*6)*3</f>
        <v>6.8039999999999994</v>
      </c>
      <c r="F31" s="22">
        <v>12.74</v>
      </c>
      <c r="G31" s="25">
        <f t="shared" si="2"/>
        <v>15.925000000000001</v>
      </c>
      <c r="H31" s="21">
        <f>(G31-I31)</f>
        <v>9.5549999999999997</v>
      </c>
      <c r="I31" s="21">
        <f>(G31*0.4)</f>
        <v>6.370000000000001</v>
      </c>
      <c r="J31" s="24">
        <f t="shared" si="3"/>
        <v>108.324</v>
      </c>
      <c r="L31" s="15"/>
      <c r="M31" s="15"/>
      <c r="N31" s="15"/>
      <c r="O31" s="15"/>
    </row>
    <row r="32" spans="1:15" ht="38.25" x14ac:dyDescent="0.25">
      <c r="A32" s="28">
        <v>92269</v>
      </c>
      <c r="B32" s="19" t="s">
        <v>49</v>
      </c>
      <c r="C32" s="17" t="s">
        <v>50</v>
      </c>
      <c r="D32" s="19" t="s">
        <v>39</v>
      </c>
      <c r="E32" s="21">
        <f>(0.2*2.1*9*2)+(0.2*1.8*8)+(0.3*1.8*8*2)</f>
        <v>19.080000000000002</v>
      </c>
      <c r="F32" s="22">
        <v>138.83000000000001</v>
      </c>
      <c r="G32" s="25">
        <f t="shared" si="2"/>
        <v>173.53750000000002</v>
      </c>
      <c r="H32" s="21">
        <f>(G32-I32)</f>
        <v>104.12250000000002</v>
      </c>
      <c r="I32" s="21">
        <f>(G32*0.4)</f>
        <v>69.415000000000006</v>
      </c>
      <c r="J32" s="24">
        <f t="shared" si="3"/>
        <v>3311.1431999999995</v>
      </c>
      <c r="L32" s="15"/>
      <c r="M32" s="15"/>
      <c r="N32" s="15"/>
      <c r="O32" s="15"/>
    </row>
    <row r="33" spans="1:15" ht="25.5" x14ac:dyDescent="0.25">
      <c r="A33" s="28">
        <v>92270</v>
      </c>
      <c r="B33" s="19" t="s">
        <v>51</v>
      </c>
      <c r="C33" s="17" t="s">
        <v>52</v>
      </c>
      <c r="D33" s="29" t="s">
        <v>39</v>
      </c>
      <c r="E33" s="21">
        <f>(16.5*0.3)*2</f>
        <v>9.9</v>
      </c>
      <c r="F33" s="22">
        <v>110.67</v>
      </c>
      <c r="G33" s="25">
        <f t="shared" si="2"/>
        <v>138.33750000000001</v>
      </c>
      <c r="H33" s="21">
        <f>J33*0.6</f>
        <v>821.7396</v>
      </c>
      <c r="I33" s="21">
        <f>J33*0.4</f>
        <v>547.82640000000004</v>
      </c>
      <c r="J33" s="24">
        <f t="shared" si="3"/>
        <v>1369.566</v>
      </c>
      <c r="L33" s="15"/>
      <c r="M33" s="15"/>
      <c r="N33" s="15"/>
      <c r="O33" s="15"/>
    </row>
    <row r="34" spans="1:15" ht="51" x14ac:dyDescent="0.25">
      <c r="A34" s="19">
        <v>94964</v>
      </c>
      <c r="B34" s="19" t="s">
        <v>53</v>
      </c>
      <c r="C34" s="17" t="s">
        <v>34</v>
      </c>
      <c r="D34" s="21" t="s">
        <v>23</v>
      </c>
      <c r="E34" s="21">
        <f>(2.1*0.2*0.2*9)+(1.8*0.2*0.3*8)+(16.5*0.2*0.3)</f>
        <v>2.6100000000000003</v>
      </c>
      <c r="F34" s="22">
        <v>384.64</v>
      </c>
      <c r="G34" s="25">
        <f t="shared" si="2"/>
        <v>480.79999999999995</v>
      </c>
      <c r="H34" s="21">
        <f>(G34-I34)</f>
        <v>288.47999999999996</v>
      </c>
      <c r="I34" s="21">
        <f>(G34*0.4)</f>
        <v>192.32</v>
      </c>
      <c r="J34" s="24">
        <f t="shared" si="3"/>
        <v>1254.8879999999999</v>
      </c>
      <c r="L34" s="15"/>
      <c r="M34" s="15"/>
      <c r="N34" s="15"/>
      <c r="O34" s="15"/>
    </row>
    <row r="35" spans="1:15" ht="38.25" x14ac:dyDescent="0.25">
      <c r="A35" s="19">
        <v>92873</v>
      </c>
      <c r="B35" s="19" t="s">
        <v>54</v>
      </c>
      <c r="C35" s="17" t="s">
        <v>36</v>
      </c>
      <c r="D35" s="21" t="s">
        <v>23</v>
      </c>
      <c r="E35" s="21">
        <f>E34</f>
        <v>2.6100000000000003</v>
      </c>
      <c r="F35" s="22">
        <v>184.16</v>
      </c>
      <c r="G35" s="25">
        <f t="shared" si="2"/>
        <v>230.2</v>
      </c>
      <c r="H35" s="21">
        <f>(G35-I35)</f>
        <v>138.12</v>
      </c>
      <c r="I35" s="21">
        <f>(G35*0.4)</f>
        <v>92.08</v>
      </c>
      <c r="J35" s="24">
        <f t="shared" si="3"/>
        <v>600.82199999999989</v>
      </c>
      <c r="L35" s="15"/>
      <c r="M35" s="15"/>
      <c r="N35" s="15"/>
      <c r="O35" s="15"/>
    </row>
    <row r="36" spans="1:15" ht="38.25" x14ac:dyDescent="0.25">
      <c r="A36" s="19">
        <v>42408</v>
      </c>
      <c r="B36" s="19" t="s">
        <v>55</v>
      </c>
      <c r="C36" s="17" t="s">
        <v>56</v>
      </c>
      <c r="D36" s="19" t="s">
        <v>39</v>
      </c>
      <c r="E36" s="21">
        <f>18.3*2.1*2</f>
        <v>76.86</v>
      </c>
      <c r="F36" s="22">
        <f>(2.24)+(2.24*0.4)</f>
        <v>3.1360000000000001</v>
      </c>
      <c r="G36" s="25">
        <f t="shared" si="2"/>
        <v>3.92</v>
      </c>
      <c r="H36" s="21">
        <f>(G36-I36)</f>
        <v>2.3519999999999999</v>
      </c>
      <c r="I36" s="21">
        <f>(G36*0.4)</f>
        <v>1.5680000000000001</v>
      </c>
      <c r="J36" s="24">
        <f t="shared" si="3"/>
        <v>301.2912</v>
      </c>
      <c r="L36" s="15"/>
      <c r="M36" s="15"/>
      <c r="N36" s="15"/>
      <c r="O36" s="15"/>
    </row>
    <row r="37" spans="1:15" ht="51" x14ac:dyDescent="0.25">
      <c r="A37" s="19">
        <v>87894</v>
      </c>
      <c r="B37" s="19" t="s">
        <v>57</v>
      </c>
      <c r="C37" s="17" t="s">
        <v>58</v>
      </c>
      <c r="D37" s="19" t="s">
        <v>39</v>
      </c>
      <c r="E37" s="21">
        <f>18.3*2.1</f>
        <v>38.43</v>
      </c>
      <c r="F37" s="22">
        <v>5.74</v>
      </c>
      <c r="G37" s="25">
        <f t="shared" si="2"/>
        <v>7.1750000000000007</v>
      </c>
      <c r="H37" s="21">
        <f>(G37-I37)</f>
        <v>4.3049999999999997</v>
      </c>
      <c r="I37" s="21">
        <f>(G37*0.4)</f>
        <v>2.8700000000000006</v>
      </c>
      <c r="J37" s="24">
        <f t="shared" si="3"/>
        <v>275.92739999999998</v>
      </c>
      <c r="L37" s="15"/>
      <c r="M37" s="15"/>
      <c r="N37" s="15"/>
      <c r="O37" s="15"/>
    </row>
    <row r="38" spans="1:15" ht="25.5" x14ac:dyDescent="0.25">
      <c r="A38" s="19">
        <v>88485</v>
      </c>
      <c r="B38" s="19" t="s">
        <v>59</v>
      </c>
      <c r="C38" s="17" t="s">
        <v>60</v>
      </c>
      <c r="D38" s="19" t="s">
        <v>39</v>
      </c>
      <c r="E38" s="21">
        <f>18.3*2.1</f>
        <v>38.43</v>
      </c>
      <c r="F38" s="22">
        <v>2.16</v>
      </c>
      <c r="G38" s="25">
        <f t="shared" si="2"/>
        <v>2.7</v>
      </c>
      <c r="H38" s="21">
        <f>(G38-I38)</f>
        <v>1.62</v>
      </c>
      <c r="I38" s="21">
        <f>(G38*0.4)</f>
        <v>1.08</v>
      </c>
      <c r="J38" s="24">
        <f t="shared" si="3"/>
        <v>103.76100000000001</v>
      </c>
      <c r="L38" s="15"/>
      <c r="M38" s="15"/>
      <c r="N38" s="15"/>
      <c r="O38" s="15"/>
    </row>
    <row r="39" spans="1:15" ht="36" x14ac:dyDescent="0.25">
      <c r="A39" s="28">
        <v>88489</v>
      </c>
      <c r="B39" s="19" t="s">
        <v>61</v>
      </c>
      <c r="C39" s="28" t="s">
        <v>62</v>
      </c>
      <c r="D39" s="30" t="s">
        <v>39</v>
      </c>
      <c r="E39" s="31">
        <f>E38</f>
        <v>38.43</v>
      </c>
      <c r="F39" s="22">
        <v>14.86</v>
      </c>
      <c r="G39" s="24">
        <f>F39*1.25</f>
        <v>18.574999999999999</v>
      </c>
      <c r="H39" s="24">
        <f>J39*0.6</f>
        <v>428.41763999999995</v>
      </c>
      <c r="I39" s="24">
        <f>J39*0.4</f>
        <v>285.61175999999995</v>
      </c>
      <c r="J39" s="24">
        <f t="shared" si="3"/>
        <v>714.0293999999999</v>
      </c>
      <c r="L39" s="15"/>
      <c r="M39" s="15"/>
      <c r="N39" s="15"/>
      <c r="O39" s="15"/>
    </row>
    <row r="40" spans="1:15" x14ac:dyDescent="0.25">
      <c r="A40" s="6"/>
      <c r="B40" s="6"/>
      <c r="C40" s="6"/>
      <c r="D40" s="6"/>
      <c r="E40" s="6"/>
      <c r="F40" s="6"/>
      <c r="G40" s="6"/>
      <c r="H40" s="6"/>
      <c r="I40" s="32" t="s">
        <v>63</v>
      </c>
      <c r="J40" s="33">
        <f>SUM(J19:J39)</f>
        <v>30638.757699999995</v>
      </c>
      <c r="L40" s="15"/>
      <c r="M40" s="15"/>
      <c r="N40" s="15"/>
      <c r="O40" s="15"/>
    </row>
    <row r="41" spans="1:15" x14ac:dyDescent="0.25">
      <c r="A41" s="8" t="s">
        <v>64</v>
      </c>
      <c r="B41" s="8"/>
      <c r="C41" s="8"/>
      <c r="D41" s="8"/>
      <c r="E41" s="8"/>
      <c r="F41" s="8"/>
      <c r="G41" s="8"/>
      <c r="H41" s="8"/>
      <c r="I41" s="8"/>
      <c r="J41" s="8"/>
      <c r="L41" s="15"/>
      <c r="M41" s="15"/>
      <c r="N41" s="15"/>
      <c r="O41" s="15"/>
    </row>
    <row r="42" spans="1:15" ht="36" x14ac:dyDescent="0.25">
      <c r="A42" s="28">
        <v>97636</v>
      </c>
      <c r="B42" s="19" t="s">
        <v>65</v>
      </c>
      <c r="C42" s="28" t="s">
        <v>66</v>
      </c>
      <c r="D42" s="30" t="s">
        <v>39</v>
      </c>
      <c r="E42" s="31">
        <f>(0.2*0.2*12)</f>
        <v>0.48000000000000009</v>
      </c>
      <c r="F42" s="24">
        <v>17.39</v>
      </c>
      <c r="G42" s="24">
        <f>F42*1.25</f>
        <v>21.737500000000001</v>
      </c>
      <c r="H42" s="24">
        <f t="shared" ref="H42:H52" si="4">J42*0.6</f>
        <v>6.2611199999999991</v>
      </c>
      <c r="I42" s="24">
        <f t="shared" ref="I42:I52" si="5">J42*0.4</f>
        <v>4.1740799999999991</v>
      </c>
      <c r="J42" s="24">
        <f t="shared" ref="J42:J52" si="6">ROUND(E42,2)*(ROUND(G42,2))</f>
        <v>10.435199999999998</v>
      </c>
      <c r="L42" s="15"/>
      <c r="M42" s="15"/>
      <c r="N42" s="15"/>
      <c r="O42" s="15"/>
    </row>
    <row r="43" spans="1:15" ht="24" x14ac:dyDescent="0.25">
      <c r="A43" s="28">
        <v>97628</v>
      </c>
      <c r="B43" s="19" t="s">
        <v>67</v>
      </c>
      <c r="C43" s="28" t="s">
        <v>68</v>
      </c>
      <c r="D43" s="30" t="s">
        <v>23</v>
      </c>
      <c r="E43" s="31">
        <f>(0.2*0.2*0.1*12)</f>
        <v>4.8000000000000015E-2</v>
      </c>
      <c r="F43" s="24">
        <v>234.18</v>
      </c>
      <c r="G43" s="24">
        <f>F43*1.25</f>
        <v>292.72500000000002</v>
      </c>
      <c r="H43" s="24">
        <f t="shared" si="4"/>
        <v>8.7819000000000003</v>
      </c>
      <c r="I43" s="24">
        <f t="shared" si="5"/>
        <v>5.8546000000000014</v>
      </c>
      <c r="J43" s="24">
        <f t="shared" si="6"/>
        <v>14.636500000000002</v>
      </c>
      <c r="L43" s="15"/>
      <c r="M43" s="15"/>
      <c r="N43" s="15"/>
      <c r="O43" s="15"/>
    </row>
    <row r="44" spans="1:15" ht="25.5" x14ac:dyDescent="0.25">
      <c r="A44" s="19">
        <v>96522</v>
      </c>
      <c r="B44" s="19" t="s">
        <v>69</v>
      </c>
      <c r="C44" s="20" t="s">
        <v>25</v>
      </c>
      <c r="D44" s="21" t="s">
        <v>23</v>
      </c>
      <c r="E44" s="21">
        <f>(0.2*0.2*0.4)*12</f>
        <v>0.19200000000000006</v>
      </c>
      <c r="F44" s="24">
        <v>127.98</v>
      </c>
      <c r="G44" s="24">
        <f t="shared" ref="G44:G50" si="7">(F44*1.25)</f>
        <v>159.97499999999999</v>
      </c>
      <c r="H44" s="24">
        <f t="shared" si="4"/>
        <v>18.237719999999996</v>
      </c>
      <c r="I44" s="24">
        <f t="shared" si="5"/>
        <v>12.158479999999999</v>
      </c>
      <c r="J44" s="24">
        <f t="shared" si="6"/>
        <v>30.396199999999997</v>
      </c>
      <c r="L44" s="15"/>
      <c r="M44" s="15"/>
      <c r="N44" s="15"/>
      <c r="O44" s="15"/>
    </row>
    <row r="45" spans="1:15" ht="51" x14ac:dyDescent="0.25">
      <c r="A45" s="19">
        <v>94964</v>
      </c>
      <c r="B45" s="19" t="s">
        <v>70</v>
      </c>
      <c r="C45" s="17" t="s">
        <v>34</v>
      </c>
      <c r="D45" s="21" t="s">
        <v>23</v>
      </c>
      <c r="E45" s="21">
        <f>E44</f>
        <v>0.19200000000000006</v>
      </c>
      <c r="F45" s="24">
        <v>384.64</v>
      </c>
      <c r="G45" s="24">
        <f t="shared" si="7"/>
        <v>480.79999999999995</v>
      </c>
      <c r="H45" s="24">
        <f t="shared" si="4"/>
        <v>54.811199999999999</v>
      </c>
      <c r="I45" s="24">
        <f t="shared" si="5"/>
        <v>36.540800000000004</v>
      </c>
      <c r="J45" s="24">
        <f t="shared" si="6"/>
        <v>91.352000000000004</v>
      </c>
      <c r="L45" s="15"/>
      <c r="M45" s="15"/>
      <c r="N45" s="15"/>
      <c r="O45" s="15"/>
    </row>
    <row r="46" spans="1:15" ht="38.25" x14ac:dyDescent="0.25">
      <c r="A46" s="19">
        <v>92873</v>
      </c>
      <c r="B46" s="19" t="s">
        <v>71</v>
      </c>
      <c r="C46" s="17" t="s">
        <v>36</v>
      </c>
      <c r="D46" s="21" t="s">
        <v>23</v>
      </c>
      <c r="E46" s="21">
        <f>E45</f>
        <v>0.19200000000000006</v>
      </c>
      <c r="F46" s="24">
        <v>184.16</v>
      </c>
      <c r="G46" s="24">
        <f t="shared" si="7"/>
        <v>230.2</v>
      </c>
      <c r="H46" s="24">
        <f t="shared" si="4"/>
        <v>26.242799999999999</v>
      </c>
      <c r="I46" s="24">
        <f t="shared" si="5"/>
        <v>17.495200000000001</v>
      </c>
      <c r="J46" s="24">
        <f t="shared" si="6"/>
        <v>43.738</v>
      </c>
      <c r="L46" s="15" t="s">
        <v>72</v>
      </c>
      <c r="M46" s="15"/>
      <c r="N46" s="15"/>
      <c r="O46" s="15"/>
    </row>
    <row r="47" spans="1:15" ht="38.25" x14ac:dyDescent="0.25">
      <c r="A47" s="19">
        <v>11963</v>
      </c>
      <c r="B47" s="19" t="s">
        <v>73</v>
      </c>
      <c r="C47" s="17" t="s">
        <v>74</v>
      </c>
      <c r="D47" s="21" t="s">
        <v>75</v>
      </c>
      <c r="E47" s="21">
        <v>12</v>
      </c>
      <c r="F47" s="24">
        <v>6.77</v>
      </c>
      <c r="G47" s="24">
        <f t="shared" si="7"/>
        <v>8.4624999999999986</v>
      </c>
      <c r="H47" s="24">
        <f t="shared" si="4"/>
        <v>60.912000000000006</v>
      </c>
      <c r="I47" s="24">
        <f t="shared" si="5"/>
        <v>40.608000000000004</v>
      </c>
      <c r="J47" s="24">
        <f t="shared" si="6"/>
        <v>101.52000000000001</v>
      </c>
      <c r="L47" s="15"/>
      <c r="M47" s="15"/>
      <c r="N47" s="15"/>
      <c r="O47" s="15"/>
    </row>
    <row r="48" spans="1:15" ht="63.75" x14ac:dyDescent="0.25">
      <c r="A48" s="17" t="s">
        <v>76</v>
      </c>
      <c r="B48" s="19" t="s">
        <v>77</v>
      </c>
      <c r="C48" s="17" t="s">
        <v>78</v>
      </c>
      <c r="D48" s="21" t="s">
        <v>75</v>
      </c>
      <c r="E48" s="21">
        <v>1</v>
      </c>
      <c r="F48" s="24">
        <v>12905</v>
      </c>
      <c r="G48" s="24">
        <f t="shared" si="7"/>
        <v>16131.25</v>
      </c>
      <c r="H48" s="24">
        <f t="shared" si="4"/>
        <v>9678.75</v>
      </c>
      <c r="I48" s="24">
        <f t="shared" si="5"/>
        <v>6452.5</v>
      </c>
      <c r="J48" s="24">
        <f t="shared" si="6"/>
        <v>16131.25</v>
      </c>
      <c r="L48" s="15"/>
      <c r="M48" s="15"/>
      <c r="N48" s="15"/>
      <c r="O48" s="15"/>
    </row>
    <row r="49" spans="1:15" ht="153" x14ac:dyDescent="0.25">
      <c r="A49" s="17" t="s">
        <v>76</v>
      </c>
      <c r="B49" s="19" t="s">
        <v>79</v>
      </c>
      <c r="C49" s="17" t="s">
        <v>80</v>
      </c>
      <c r="D49" s="21" t="s">
        <v>75</v>
      </c>
      <c r="E49" s="21">
        <v>1</v>
      </c>
      <c r="F49" s="24">
        <v>3200</v>
      </c>
      <c r="G49" s="24">
        <f t="shared" si="7"/>
        <v>4000</v>
      </c>
      <c r="H49" s="24">
        <f t="shared" si="4"/>
        <v>2400</v>
      </c>
      <c r="I49" s="24">
        <f t="shared" si="5"/>
        <v>1600</v>
      </c>
      <c r="J49" s="24">
        <f t="shared" si="6"/>
        <v>4000</v>
      </c>
      <c r="L49" s="15"/>
      <c r="M49" s="15"/>
      <c r="N49" s="15"/>
      <c r="O49" s="15"/>
    </row>
    <row r="50" spans="1:15" ht="51" x14ac:dyDescent="0.25">
      <c r="A50" s="19">
        <v>100753</v>
      </c>
      <c r="B50" s="19" t="s">
        <v>81</v>
      </c>
      <c r="C50" s="17" t="s">
        <v>82</v>
      </c>
      <c r="D50" s="21" t="s">
        <v>39</v>
      </c>
      <c r="E50" s="21">
        <f>(26.75*2)*2</f>
        <v>107</v>
      </c>
      <c r="F50" s="24">
        <v>17.920000000000002</v>
      </c>
      <c r="G50" s="24">
        <f t="shared" si="7"/>
        <v>22.400000000000002</v>
      </c>
      <c r="H50" s="24">
        <f t="shared" si="4"/>
        <v>1438.0799999999997</v>
      </c>
      <c r="I50" s="24">
        <f t="shared" si="5"/>
        <v>958.71999999999991</v>
      </c>
      <c r="J50" s="24">
        <f t="shared" si="6"/>
        <v>2396.7999999999997</v>
      </c>
      <c r="L50" s="15"/>
      <c r="M50" s="15"/>
      <c r="N50" s="15"/>
      <c r="O50" s="15"/>
    </row>
    <row r="51" spans="1:15" ht="24" x14ac:dyDescent="0.25">
      <c r="A51" s="34" t="s">
        <v>83</v>
      </c>
      <c r="B51" s="19" t="s">
        <v>84</v>
      </c>
      <c r="C51" s="34" t="s">
        <v>85</v>
      </c>
      <c r="D51" s="29" t="s">
        <v>75</v>
      </c>
      <c r="E51" s="35">
        <v>1</v>
      </c>
      <c r="F51" s="24">
        <f>150+(150*0.4)</f>
        <v>210</v>
      </c>
      <c r="G51" s="24">
        <f>F51*1.25</f>
        <v>262.5</v>
      </c>
      <c r="H51" s="24">
        <f t="shared" si="4"/>
        <v>157.5</v>
      </c>
      <c r="I51" s="24">
        <f t="shared" si="5"/>
        <v>105</v>
      </c>
      <c r="J51" s="24">
        <f t="shared" si="6"/>
        <v>262.5</v>
      </c>
      <c r="L51" s="15"/>
      <c r="M51" s="15"/>
      <c r="N51" s="15"/>
      <c r="O51" s="15"/>
    </row>
    <row r="52" spans="1:15" ht="24" x14ac:dyDescent="0.25">
      <c r="A52" s="28">
        <v>99811</v>
      </c>
      <c r="B52" s="19" t="s">
        <v>86</v>
      </c>
      <c r="C52" s="34" t="s">
        <v>87</v>
      </c>
      <c r="D52" s="29" t="s">
        <v>39</v>
      </c>
      <c r="E52" s="35">
        <v>50</v>
      </c>
      <c r="F52" s="24">
        <v>3</v>
      </c>
      <c r="G52" s="24">
        <f>F52*1.25</f>
        <v>3.75</v>
      </c>
      <c r="H52" s="24">
        <f t="shared" si="4"/>
        <v>112.5</v>
      </c>
      <c r="I52" s="24">
        <f t="shared" si="5"/>
        <v>75</v>
      </c>
      <c r="J52" s="24">
        <f t="shared" si="6"/>
        <v>187.5</v>
      </c>
      <c r="L52" s="15"/>
      <c r="M52" s="15"/>
      <c r="N52" s="15"/>
      <c r="O52" s="15"/>
    </row>
    <row r="53" spans="1:15" x14ac:dyDescent="0.25">
      <c r="A53" s="6"/>
      <c r="B53" s="6"/>
      <c r="C53" s="6"/>
      <c r="D53" s="6"/>
      <c r="E53" s="6"/>
      <c r="F53" s="6"/>
      <c r="G53" s="6"/>
      <c r="H53" s="6"/>
      <c r="I53" s="32" t="s">
        <v>63</v>
      </c>
      <c r="J53" s="33">
        <f>SUM(J42:J52)</f>
        <v>23270.127899999999</v>
      </c>
      <c r="L53" s="15"/>
      <c r="M53" s="15"/>
      <c r="N53" s="15"/>
      <c r="O53" s="15"/>
    </row>
    <row r="54" spans="1:15" x14ac:dyDescent="0.25">
      <c r="L54" s="15"/>
      <c r="M54" s="15"/>
      <c r="N54" s="15"/>
      <c r="O54" s="15"/>
    </row>
    <row r="55" spans="1:15" ht="15.75" x14ac:dyDescent="0.25">
      <c r="A55" s="9" t="s">
        <v>88</v>
      </c>
      <c r="B55" s="9"/>
      <c r="C55" s="9"/>
      <c r="D55" s="9"/>
      <c r="E55" s="9"/>
      <c r="F55" s="9"/>
      <c r="G55" s="9"/>
      <c r="H55" s="9"/>
      <c r="I55" s="9"/>
      <c r="J55" s="36">
        <f>J53+J40</f>
        <v>53908.885599999994</v>
      </c>
      <c r="L55" s="15"/>
      <c r="M55" s="15"/>
      <c r="N55" s="15"/>
      <c r="O55" s="15"/>
    </row>
    <row r="56" spans="1:15" ht="15" customHeight="1" x14ac:dyDescent="0.25">
      <c r="L56" s="15"/>
      <c r="M56" s="15"/>
      <c r="N56" s="15"/>
      <c r="O56" s="15"/>
    </row>
    <row r="57" spans="1:15" x14ac:dyDescent="0.25">
      <c r="A57" s="5" t="s">
        <v>89</v>
      </c>
      <c r="B57" s="5"/>
      <c r="C57" s="5"/>
      <c r="D57" s="5"/>
      <c r="E57" s="5"/>
      <c r="F57" s="5"/>
      <c r="G57" s="5"/>
      <c r="H57" s="5"/>
      <c r="I57" s="5"/>
      <c r="J57" s="5"/>
      <c r="L57" s="15"/>
      <c r="M57" s="15"/>
      <c r="N57" s="15"/>
      <c r="O57" s="15"/>
    </row>
    <row r="58" spans="1:15" x14ac:dyDescent="0.25">
      <c r="L58" s="15"/>
      <c r="M58" s="15"/>
      <c r="N58" s="15"/>
      <c r="O58" s="15"/>
    </row>
    <row r="59" spans="1:15" x14ac:dyDescent="0.25">
      <c r="C59" s="37" t="s">
        <v>90</v>
      </c>
      <c r="D59" s="38"/>
      <c r="E59" s="38"/>
      <c r="F59" s="39"/>
      <c r="G59" s="37"/>
      <c r="H59" s="37" t="s">
        <v>90</v>
      </c>
      <c r="I59" s="38"/>
      <c r="L59" s="15"/>
      <c r="M59" s="15"/>
      <c r="N59" s="15"/>
      <c r="O59" s="15"/>
    </row>
    <row r="60" spans="1:15" x14ac:dyDescent="0.25">
      <c r="C60" s="38" t="s">
        <v>91</v>
      </c>
      <c r="D60" s="38"/>
      <c r="E60" s="38"/>
      <c r="F60" s="39"/>
      <c r="G60" s="38"/>
      <c r="H60" s="38" t="s">
        <v>92</v>
      </c>
      <c r="I60" s="38"/>
      <c r="L60" s="15"/>
      <c r="M60" s="15"/>
      <c r="N60" s="15"/>
      <c r="O60" s="15"/>
    </row>
    <row r="61" spans="1:15" x14ac:dyDescent="0.25">
      <c r="C61" s="38" t="s">
        <v>93</v>
      </c>
      <c r="D61" s="39"/>
      <c r="E61" s="39"/>
      <c r="F61" s="39"/>
      <c r="G61" s="38"/>
      <c r="H61" s="38" t="s">
        <v>94</v>
      </c>
      <c r="I61" s="39"/>
      <c r="L61" s="15"/>
      <c r="M61" s="15"/>
      <c r="N61" s="15"/>
      <c r="O61" s="15"/>
    </row>
    <row r="62" spans="1:15" x14ac:dyDescent="0.25">
      <c r="L62" s="15"/>
      <c r="M62" s="15"/>
      <c r="N62" s="15"/>
      <c r="O62" s="15"/>
    </row>
    <row r="63" spans="1:15" x14ac:dyDescent="0.25">
      <c r="L63" s="15"/>
      <c r="M63" s="15"/>
      <c r="N63" s="15"/>
      <c r="O63" s="15"/>
    </row>
    <row r="64" spans="1:15" x14ac:dyDescent="0.25">
      <c r="L64" s="15"/>
      <c r="M64" s="15"/>
      <c r="N64" s="15"/>
      <c r="O64" s="15"/>
    </row>
    <row r="65" spans="12:15" x14ac:dyDescent="0.25">
      <c r="L65" s="15"/>
      <c r="M65" s="15"/>
      <c r="N65" s="15"/>
      <c r="O65" s="15"/>
    </row>
    <row r="66" spans="12:15" x14ac:dyDescent="0.25">
      <c r="L66" s="15"/>
      <c r="M66" s="15"/>
      <c r="N66" s="15"/>
      <c r="O66" s="15"/>
    </row>
    <row r="67" spans="12:15" x14ac:dyDescent="0.25">
      <c r="L67" s="15"/>
      <c r="M67" s="15"/>
      <c r="N67" s="15"/>
      <c r="O67" s="15"/>
    </row>
    <row r="68" spans="12:15" x14ac:dyDescent="0.25">
      <c r="L68" s="15"/>
      <c r="M68" s="15"/>
      <c r="N68" s="15"/>
      <c r="O68" s="15"/>
    </row>
    <row r="70" spans="12:15" ht="20.25" customHeight="1" x14ac:dyDescent="0.25"/>
    <row r="78" spans="12:15" ht="48.75" customHeight="1" x14ac:dyDescent="0.25">
      <c r="L78" s="15"/>
      <c r="M78" s="15"/>
      <c r="N78" s="15"/>
      <c r="O78" s="15"/>
    </row>
    <row r="79" spans="12:15" x14ac:dyDescent="0.25">
      <c r="L79" s="15"/>
      <c r="M79" s="15"/>
      <c r="N79" s="15"/>
      <c r="O79" s="15"/>
    </row>
    <row r="80" spans="12:15" x14ac:dyDescent="0.25">
      <c r="L80" s="15"/>
      <c r="M80" s="15"/>
      <c r="N80" s="15"/>
      <c r="O80" s="15"/>
    </row>
    <row r="81" spans="12:15" x14ac:dyDescent="0.25">
      <c r="L81" s="15"/>
      <c r="M81" s="15"/>
      <c r="N81" s="15"/>
      <c r="O81" s="15"/>
    </row>
    <row r="82" spans="12:15" ht="42.75" customHeight="1" x14ac:dyDescent="0.25">
      <c r="L82" s="15"/>
      <c r="M82" s="15"/>
      <c r="N82" s="15"/>
      <c r="O82" s="15"/>
    </row>
    <row r="83" spans="12:15" ht="45" customHeight="1" x14ac:dyDescent="0.25">
      <c r="L83" s="15"/>
      <c r="M83" s="15"/>
      <c r="N83" s="15"/>
      <c r="O83" s="15"/>
    </row>
    <row r="84" spans="12:15" x14ac:dyDescent="0.25">
      <c r="L84" s="15"/>
      <c r="M84" s="15"/>
      <c r="N84" s="15"/>
      <c r="O84" s="15"/>
    </row>
    <row r="85" spans="12:15" x14ac:dyDescent="0.25">
      <c r="L85" s="15"/>
      <c r="M85" s="15"/>
      <c r="N85" s="15"/>
      <c r="O85" s="15"/>
    </row>
    <row r="86" spans="12:15" x14ac:dyDescent="0.25">
      <c r="L86" s="15"/>
      <c r="M86" s="15"/>
      <c r="N86" s="15"/>
      <c r="O86" s="15"/>
    </row>
    <row r="87" spans="12:15" ht="54" customHeight="1" x14ac:dyDescent="0.25">
      <c r="L87" s="15"/>
      <c r="M87" s="15"/>
      <c r="N87" s="15"/>
      <c r="O87" s="15"/>
    </row>
    <row r="88" spans="12:15" ht="36" customHeight="1" x14ac:dyDescent="0.25">
      <c r="L88" s="15"/>
      <c r="M88" s="15"/>
      <c r="N88" s="15"/>
      <c r="O88" s="15"/>
    </row>
    <row r="89" spans="12:15" x14ac:dyDescent="0.25">
      <c r="L89" s="15"/>
      <c r="M89" s="15"/>
      <c r="N89" s="15"/>
      <c r="O89" s="15"/>
    </row>
    <row r="90" spans="12:15" x14ac:dyDescent="0.25">
      <c r="L90" s="15"/>
      <c r="M90" s="15"/>
      <c r="N90" s="15"/>
      <c r="O90" s="15"/>
    </row>
    <row r="91" spans="12:15" x14ac:dyDescent="0.25">
      <c r="L91" s="15"/>
      <c r="M91" s="15"/>
      <c r="N91" s="15"/>
      <c r="O91" s="15"/>
    </row>
    <row r="92" spans="12:15" x14ac:dyDescent="0.25">
      <c r="L92" s="15"/>
      <c r="M92" s="15"/>
      <c r="N92" s="15"/>
      <c r="O92" s="15"/>
    </row>
    <row r="93" spans="12:15" ht="53.25" customHeight="1" x14ac:dyDescent="0.25">
      <c r="L93" s="15"/>
      <c r="M93" s="15"/>
      <c r="N93" s="15"/>
      <c r="O93" s="15"/>
    </row>
    <row r="94" spans="12:15" x14ac:dyDescent="0.25">
      <c r="L94" s="15"/>
      <c r="M94" s="15"/>
      <c r="N94" s="15"/>
      <c r="O94" s="15"/>
    </row>
    <row r="95" spans="12:15" x14ac:dyDescent="0.25">
      <c r="L95" s="15"/>
      <c r="M95" s="15"/>
      <c r="N95" s="15"/>
      <c r="O95" s="15"/>
    </row>
    <row r="96" spans="12:15" ht="53.25" customHeight="1" x14ac:dyDescent="0.25">
      <c r="L96" s="15"/>
      <c r="M96" s="15"/>
      <c r="N96" s="15"/>
      <c r="O96" s="15"/>
    </row>
    <row r="97" spans="12:15" x14ac:dyDescent="0.25">
      <c r="L97" s="15"/>
      <c r="M97" s="15"/>
      <c r="N97" s="15"/>
      <c r="O97" s="15"/>
    </row>
    <row r="98" spans="12:15" x14ac:dyDescent="0.25">
      <c r="L98" s="15"/>
      <c r="M98" s="15"/>
      <c r="N98" s="15"/>
      <c r="O98" s="15"/>
    </row>
    <row r="99" spans="12:15" x14ac:dyDescent="0.25">
      <c r="L99" s="15"/>
      <c r="M99" s="15"/>
      <c r="N99" s="15"/>
      <c r="O99" s="15"/>
    </row>
    <row r="100" spans="12:15" x14ac:dyDescent="0.25">
      <c r="L100" s="15"/>
      <c r="M100" s="15"/>
      <c r="N100" s="15"/>
      <c r="O100" s="15"/>
    </row>
    <row r="101" spans="12:15" x14ac:dyDescent="0.25">
      <c r="L101" s="15"/>
      <c r="M101" s="15"/>
      <c r="N101" s="15"/>
      <c r="O101" s="15"/>
    </row>
    <row r="102" spans="12:15" x14ac:dyDescent="0.25">
      <c r="L102" s="15"/>
      <c r="M102" s="15"/>
      <c r="N102" s="15"/>
      <c r="O102" s="15"/>
    </row>
    <row r="103" spans="12:15" x14ac:dyDescent="0.25">
      <c r="L103" s="15"/>
      <c r="M103" s="15"/>
      <c r="N103" s="15"/>
      <c r="O103" s="15"/>
    </row>
    <row r="104" spans="12:15" x14ac:dyDescent="0.25">
      <c r="L104" s="15"/>
      <c r="M104" s="15"/>
      <c r="N104" s="15"/>
      <c r="O104" s="15"/>
    </row>
    <row r="105" spans="12:15" ht="83.25" customHeight="1" x14ac:dyDescent="0.25">
      <c r="L105" s="15"/>
      <c r="M105" s="15"/>
      <c r="N105" s="15"/>
      <c r="O105" s="15"/>
    </row>
    <row r="106" spans="12:15" x14ac:dyDescent="0.25">
      <c r="L106" s="15"/>
      <c r="M106" s="15"/>
      <c r="N106" s="15"/>
      <c r="O106" s="15"/>
    </row>
    <row r="107" spans="12:15" x14ac:dyDescent="0.25">
      <c r="L107" s="15"/>
      <c r="M107" s="15"/>
      <c r="N107" s="15"/>
      <c r="O107" s="15"/>
    </row>
    <row r="108" spans="12:15" x14ac:dyDescent="0.25">
      <c r="L108" s="15"/>
      <c r="M108" s="15"/>
      <c r="N108" s="15"/>
      <c r="O108" s="15"/>
    </row>
    <row r="109" spans="12:15" ht="45.75" customHeight="1" x14ac:dyDescent="0.25">
      <c r="L109" s="15"/>
      <c r="M109" s="15"/>
      <c r="N109" s="15"/>
      <c r="O109" s="15"/>
    </row>
    <row r="110" spans="12:15" ht="45" customHeight="1" x14ac:dyDescent="0.25">
      <c r="L110" s="15"/>
      <c r="M110" s="15"/>
      <c r="N110" s="15"/>
      <c r="O110" s="15"/>
    </row>
    <row r="111" spans="12:15" x14ac:dyDescent="0.25">
      <c r="L111" s="15"/>
      <c r="M111" s="15"/>
      <c r="N111" s="15"/>
      <c r="O111" s="15"/>
    </row>
    <row r="112" spans="12:15" x14ac:dyDescent="0.25">
      <c r="L112" s="15"/>
      <c r="M112" s="15"/>
      <c r="N112" s="15"/>
      <c r="O112" s="15"/>
    </row>
    <row r="113" spans="12:15" x14ac:dyDescent="0.25">
      <c r="L113" s="15"/>
      <c r="M113" s="15"/>
      <c r="N113" s="15"/>
      <c r="O113" s="15"/>
    </row>
    <row r="114" spans="12:15" x14ac:dyDescent="0.25">
      <c r="L114" s="15"/>
      <c r="M114" s="15"/>
      <c r="N114" s="15"/>
      <c r="O114" s="15"/>
    </row>
    <row r="115" spans="12:15" x14ac:dyDescent="0.25">
      <c r="L115" s="15"/>
      <c r="M115" s="15"/>
      <c r="N115" s="15"/>
      <c r="O115" s="15"/>
    </row>
    <row r="116" spans="12:15" x14ac:dyDescent="0.25">
      <c r="L116" s="15"/>
      <c r="M116" s="15"/>
      <c r="N116" s="15"/>
      <c r="O116" s="15"/>
    </row>
    <row r="117" spans="12:15" x14ac:dyDescent="0.25">
      <c r="L117" s="15"/>
      <c r="M117" s="15"/>
      <c r="N117" s="15"/>
      <c r="O117" s="15"/>
    </row>
    <row r="118" spans="12:15" x14ac:dyDescent="0.25">
      <c r="L118" s="15"/>
      <c r="M118" s="15"/>
      <c r="N118" s="15"/>
      <c r="O118" s="15"/>
    </row>
    <row r="119" spans="12:15" x14ac:dyDescent="0.25">
      <c r="L119" s="15"/>
      <c r="M119" s="15"/>
      <c r="N119" s="15"/>
      <c r="O119" s="15"/>
    </row>
    <row r="120" spans="12:15" x14ac:dyDescent="0.25">
      <c r="L120" s="15"/>
      <c r="M120" s="15"/>
      <c r="N120" s="15"/>
      <c r="O120" s="15"/>
    </row>
    <row r="121" spans="12:15" x14ac:dyDescent="0.25">
      <c r="L121" s="15"/>
      <c r="M121" s="15"/>
      <c r="N121" s="15"/>
      <c r="O121" s="15"/>
    </row>
    <row r="122" spans="12:15" x14ac:dyDescent="0.25">
      <c r="L122" s="15"/>
      <c r="M122" s="15"/>
      <c r="N122" s="15"/>
      <c r="O122" s="15"/>
    </row>
    <row r="123" spans="12:15" x14ac:dyDescent="0.25">
      <c r="L123" s="15"/>
      <c r="M123" s="15"/>
      <c r="N123" s="15"/>
      <c r="O123" s="15"/>
    </row>
    <row r="124" spans="12:15" x14ac:dyDescent="0.25">
      <c r="L124" s="15"/>
      <c r="M124" s="15"/>
      <c r="N124" s="15"/>
      <c r="O124" s="15"/>
    </row>
    <row r="125" spans="12:15" x14ac:dyDescent="0.25">
      <c r="L125" s="15"/>
      <c r="M125" s="15"/>
      <c r="N125" s="15"/>
      <c r="O125" s="15"/>
    </row>
    <row r="126" spans="12:15" x14ac:dyDescent="0.25">
      <c r="L126" s="15"/>
      <c r="M126" s="15"/>
      <c r="N126" s="15"/>
      <c r="O126" s="15"/>
    </row>
    <row r="127" spans="12:15" x14ac:dyDescent="0.25">
      <c r="L127" s="15"/>
      <c r="M127" s="15"/>
      <c r="N127" s="15"/>
      <c r="O127" s="15"/>
    </row>
    <row r="128" spans="12:15" x14ac:dyDescent="0.25">
      <c r="L128" s="15"/>
      <c r="M128" s="15"/>
      <c r="N128" s="15"/>
      <c r="O128" s="15"/>
    </row>
    <row r="129" spans="12:15" x14ac:dyDescent="0.25">
      <c r="L129" s="15"/>
      <c r="M129" s="15"/>
      <c r="N129" s="15"/>
      <c r="O129" s="15"/>
    </row>
    <row r="130" spans="12:15" x14ac:dyDescent="0.25">
      <c r="L130" s="15"/>
      <c r="M130" s="15"/>
      <c r="N130" s="15"/>
      <c r="O130" s="15"/>
    </row>
    <row r="131" spans="12:15" x14ac:dyDescent="0.25">
      <c r="L131" s="15"/>
      <c r="M131" s="15"/>
      <c r="N131" s="15"/>
      <c r="O131" s="15"/>
    </row>
    <row r="132" spans="12:15" x14ac:dyDescent="0.25">
      <c r="L132" s="15"/>
      <c r="M132" s="15"/>
      <c r="N132" s="15"/>
      <c r="O132" s="15"/>
    </row>
    <row r="133" spans="12:15" x14ac:dyDescent="0.25">
      <c r="L133" s="15"/>
      <c r="M133" s="15"/>
      <c r="N133" s="15"/>
      <c r="O133" s="15"/>
    </row>
    <row r="134" spans="12:15" x14ac:dyDescent="0.25">
      <c r="L134" s="15"/>
      <c r="M134" s="15"/>
      <c r="N134" s="15"/>
      <c r="O134" s="15"/>
    </row>
    <row r="135" spans="12:15" x14ac:dyDescent="0.25">
      <c r="L135" s="15"/>
      <c r="M135" s="15"/>
      <c r="N135" s="15"/>
      <c r="O135" s="15"/>
    </row>
    <row r="136" spans="12:15" ht="37.5" customHeight="1" x14ac:dyDescent="0.25">
      <c r="L136" s="15"/>
      <c r="M136" s="15"/>
      <c r="N136" s="15"/>
      <c r="O136" s="15"/>
    </row>
    <row r="137" spans="12:15" x14ac:dyDescent="0.25">
      <c r="L137" s="15"/>
      <c r="M137" s="15"/>
      <c r="N137" s="15"/>
      <c r="O137" s="15"/>
    </row>
    <row r="138" spans="12:15" x14ac:dyDescent="0.25">
      <c r="L138" s="15"/>
      <c r="M138" s="15"/>
      <c r="N138" s="15"/>
      <c r="O138" s="15"/>
    </row>
    <row r="139" spans="12:15" x14ac:dyDescent="0.25">
      <c r="L139" s="15"/>
      <c r="M139" s="15"/>
      <c r="N139" s="15"/>
      <c r="O139" s="15"/>
    </row>
    <row r="140" spans="12:15" x14ac:dyDescent="0.25">
      <c r="L140" s="15"/>
      <c r="M140" s="15"/>
      <c r="N140" s="15"/>
      <c r="O140" s="15"/>
    </row>
    <row r="141" spans="12:15" x14ac:dyDescent="0.25">
      <c r="L141" s="15"/>
      <c r="M141" s="15"/>
      <c r="N141" s="15"/>
      <c r="O141" s="15"/>
    </row>
    <row r="142" spans="12:15" x14ac:dyDescent="0.25">
      <c r="L142" s="15"/>
      <c r="M142" s="15"/>
      <c r="N142" s="15"/>
      <c r="O142" s="15"/>
    </row>
    <row r="143" spans="12:15" x14ac:dyDescent="0.25">
      <c r="L143" s="15"/>
      <c r="M143" s="15"/>
      <c r="N143" s="15"/>
      <c r="O143" s="15"/>
    </row>
    <row r="144" spans="12:15" x14ac:dyDescent="0.25">
      <c r="L144" s="15"/>
      <c r="M144" s="15"/>
      <c r="N144" s="15"/>
      <c r="O144" s="15"/>
    </row>
    <row r="145" spans="12:15" x14ac:dyDescent="0.25">
      <c r="L145" s="15"/>
      <c r="M145" s="15"/>
      <c r="N145" s="15"/>
      <c r="O145" s="15"/>
    </row>
    <row r="146" spans="12:15" x14ac:dyDescent="0.25">
      <c r="L146" s="15"/>
      <c r="M146" s="15"/>
      <c r="N146" s="15"/>
      <c r="O146" s="15"/>
    </row>
    <row r="147" spans="12:15" x14ac:dyDescent="0.25">
      <c r="L147" s="15"/>
      <c r="M147" s="15"/>
      <c r="N147" s="15"/>
      <c r="O147" s="15"/>
    </row>
    <row r="148" spans="12:15" x14ac:dyDescent="0.25">
      <c r="L148" s="15"/>
      <c r="M148" s="15"/>
      <c r="N148" s="15"/>
      <c r="O148" s="15"/>
    </row>
    <row r="149" spans="12:15" x14ac:dyDescent="0.25">
      <c r="L149" s="15"/>
      <c r="M149" s="15"/>
      <c r="N149" s="15"/>
      <c r="O149" s="15"/>
    </row>
    <row r="150" spans="12:15" x14ac:dyDescent="0.25">
      <c r="L150" s="15"/>
      <c r="M150" s="15"/>
      <c r="N150" s="15"/>
      <c r="O150" s="15"/>
    </row>
    <row r="151" spans="12:15" x14ac:dyDescent="0.25">
      <c r="L151" s="15"/>
      <c r="M151" s="15"/>
      <c r="N151" s="15"/>
      <c r="O151" s="15"/>
    </row>
    <row r="152" spans="12:15" x14ac:dyDescent="0.25">
      <c r="L152" s="15"/>
      <c r="M152" s="15"/>
      <c r="N152" s="15"/>
      <c r="O152" s="15"/>
    </row>
    <row r="153" spans="12:15" x14ac:dyDescent="0.25">
      <c r="L153" s="15"/>
      <c r="M153" s="15"/>
      <c r="N153" s="15"/>
      <c r="O153" s="15"/>
    </row>
    <row r="154" spans="12:15" x14ac:dyDescent="0.25">
      <c r="L154" s="15"/>
      <c r="M154" s="15"/>
      <c r="N154" s="15"/>
      <c r="O154" s="15"/>
    </row>
    <row r="155" spans="12:15" x14ac:dyDescent="0.25">
      <c r="L155" s="15"/>
      <c r="M155" s="15"/>
      <c r="N155" s="15"/>
      <c r="O155" s="15"/>
    </row>
    <row r="156" spans="12:15" x14ac:dyDescent="0.25">
      <c r="L156" s="15"/>
      <c r="M156" s="15"/>
      <c r="N156" s="15"/>
      <c r="O156" s="15"/>
    </row>
    <row r="157" spans="12:15" x14ac:dyDescent="0.25">
      <c r="L157" s="15"/>
      <c r="M157" s="15"/>
      <c r="N157" s="15"/>
      <c r="O157" s="15"/>
    </row>
    <row r="158" spans="12:15" ht="80.25" customHeight="1" x14ac:dyDescent="0.25">
      <c r="L158" s="15"/>
      <c r="M158" s="15"/>
      <c r="N158" s="15"/>
      <c r="O158" s="15"/>
    </row>
    <row r="159" spans="12:15" ht="84" customHeight="1" x14ac:dyDescent="0.25">
      <c r="L159" s="15"/>
      <c r="M159" s="15"/>
      <c r="N159" s="15"/>
      <c r="O159" s="15"/>
    </row>
    <row r="160" spans="12:15" ht="60" customHeight="1" x14ac:dyDescent="0.25">
      <c r="L160" s="15"/>
      <c r="M160" s="15"/>
      <c r="N160" s="15"/>
      <c r="O160" s="15"/>
    </row>
    <row r="161" spans="12:15" x14ac:dyDescent="0.25">
      <c r="L161" s="15"/>
      <c r="M161" s="15"/>
      <c r="N161" s="15"/>
      <c r="O161" s="15"/>
    </row>
    <row r="162" spans="12:15" x14ac:dyDescent="0.25">
      <c r="L162" s="15"/>
      <c r="M162" s="15"/>
      <c r="N162" s="15"/>
      <c r="O162" s="15"/>
    </row>
    <row r="163" spans="12:15" x14ac:dyDescent="0.25">
      <c r="L163" s="15"/>
      <c r="M163" s="15"/>
      <c r="N163" s="15"/>
      <c r="O163" s="15"/>
    </row>
    <row r="164" spans="12:15" x14ac:dyDescent="0.25">
      <c r="L164" s="15"/>
      <c r="M164" s="15"/>
      <c r="N164" s="15"/>
      <c r="O164" s="15"/>
    </row>
    <row r="165" spans="12:15" x14ac:dyDescent="0.25">
      <c r="L165" s="15"/>
      <c r="M165" s="15"/>
      <c r="N165" s="15"/>
      <c r="O165" s="15"/>
    </row>
    <row r="166" spans="12:15" x14ac:dyDescent="0.25">
      <c r="L166" s="15"/>
      <c r="M166" s="15"/>
      <c r="N166" s="15"/>
      <c r="O166" s="15"/>
    </row>
    <row r="167" spans="12:15" x14ac:dyDescent="0.25">
      <c r="L167" s="15"/>
      <c r="M167" s="15"/>
      <c r="N167" s="15"/>
      <c r="O167" s="15"/>
    </row>
    <row r="168" spans="12:15" x14ac:dyDescent="0.25">
      <c r="L168" s="15"/>
      <c r="M168" s="15"/>
      <c r="N168" s="15"/>
      <c r="O168" s="15"/>
    </row>
    <row r="169" spans="12:15" x14ac:dyDescent="0.25">
      <c r="L169" s="15"/>
      <c r="M169" s="15"/>
      <c r="N169" s="15"/>
      <c r="O169" s="15"/>
    </row>
    <row r="170" spans="12:15" x14ac:dyDescent="0.25">
      <c r="L170" s="15"/>
      <c r="M170" s="15"/>
      <c r="N170" s="15"/>
      <c r="O170" s="15"/>
    </row>
    <row r="171" spans="12:15" x14ac:dyDescent="0.25">
      <c r="L171" s="15"/>
      <c r="M171" s="15"/>
      <c r="N171" s="15"/>
      <c r="O171" s="15"/>
    </row>
    <row r="172" spans="12:15" x14ac:dyDescent="0.25">
      <c r="L172" s="15"/>
      <c r="M172" s="15"/>
      <c r="N172" s="15"/>
      <c r="O172" s="15"/>
    </row>
    <row r="173" spans="12:15" x14ac:dyDescent="0.25">
      <c r="L173" s="15"/>
      <c r="M173" s="15"/>
      <c r="N173" s="15"/>
      <c r="O173" s="15"/>
    </row>
    <row r="174" spans="12:15" x14ac:dyDescent="0.25">
      <c r="L174" s="15"/>
      <c r="M174" s="15"/>
      <c r="N174" s="15"/>
      <c r="O174" s="15"/>
    </row>
    <row r="175" spans="12:15" x14ac:dyDescent="0.25">
      <c r="L175" s="15"/>
      <c r="M175" s="15"/>
      <c r="N175" s="15"/>
      <c r="O175" s="15"/>
    </row>
    <row r="176" spans="12:15" x14ac:dyDescent="0.25">
      <c r="L176" s="15"/>
      <c r="M176" s="15"/>
      <c r="N176" s="15"/>
      <c r="O176" s="15"/>
    </row>
    <row r="177" spans="11:15" x14ac:dyDescent="0.25">
      <c r="L177" s="15"/>
      <c r="M177" s="15"/>
      <c r="N177" s="15"/>
      <c r="O177" s="15"/>
    </row>
    <row r="178" spans="11:15" x14ac:dyDescent="0.25">
      <c r="L178" s="15"/>
      <c r="M178" s="15"/>
      <c r="N178" s="15"/>
      <c r="O178" s="15"/>
    </row>
    <row r="179" spans="11:15" x14ac:dyDescent="0.25">
      <c r="L179" s="15"/>
      <c r="M179" s="15"/>
      <c r="N179" s="15"/>
      <c r="O179" s="15"/>
    </row>
    <row r="180" spans="11:15" x14ac:dyDescent="0.25">
      <c r="L180" s="15"/>
      <c r="M180" s="15"/>
      <c r="N180" s="15"/>
      <c r="O180" s="15"/>
    </row>
    <row r="181" spans="11:15" x14ac:dyDescent="0.25">
      <c r="L181" s="15"/>
      <c r="M181" s="15"/>
      <c r="N181" s="15"/>
      <c r="O181" s="15"/>
    </row>
    <row r="182" spans="11:15" x14ac:dyDescent="0.25">
      <c r="L182" s="15"/>
      <c r="M182" s="15"/>
      <c r="N182" s="15"/>
      <c r="O182" s="15"/>
    </row>
    <row r="183" spans="11:15" x14ac:dyDescent="0.25">
      <c r="L183" s="15"/>
      <c r="M183" s="15"/>
      <c r="N183" s="15"/>
      <c r="O183" s="15"/>
    </row>
    <row r="184" spans="11:15" x14ac:dyDescent="0.25">
      <c r="K184" s="15"/>
      <c r="L184" s="15"/>
      <c r="M184" s="15"/>
      <c r="N184" s="15"/>
      <c r="O184" s="15"/>
    </row>
    <row r="185" spans="11:15" x14ac:dyDescent="0.25">
      <c r="K185" s="15"/>
      <c r="L185" s="15"/>
      <c r="M185" s="15"/>
      <c r="N185" s="15"/>
      <c r="O185" s="15"/>
    </row>
    <row r="186" spans="11:15" x14ac:dyDescent="0.25">
      <c r="K186" s="15"/>
      <c r="L186" s="15"/>
      <c r="M186" s="15"/>
      <c r="N186" s="15"/>
      <c r="O186" s="15"/>
    </row>
    <row r="187" spans="11:15" x14ac:dyDescent="0.25">
      <c r="K187" s="15"/>
      <c r="L187" s="15"/>
      <c r="M187" s="15"/>
      <c r="N187" s="15"/>
      <c r="O187" s="15"/>
    </row>
    <row r="188" spans="11:15" x14ac:dyDescent="0.25">
      <c r="K188" s="15"/>
      <c r="L188" s="15"/>
      <c r="M188" s="15"/>
      <c r="N188" s="15"/>
      <c r="O188" s="15"/>
    </row>
    <row r="189" spans="11:15" x14ac:dyDescent="0.25">
      <c r="K189" s="15"/>
      <c r="L189" s="15"/>
      <c r="M189" s="15"/>
      <c r="N189" s="15"/>
      <c r="O189" s="15"/>
    </row>
    <row r="190" spans="11:15" x14ac:dyDescent="0.25">
      <c r="K190" s="15"/>
      <c r="L190" s="15"/>
      <c r="M190" s="15"/>
      <c r="N190" s="15"/>
      <c r="O190" s="15"/>
    </row>
    <row r="191" spans="11:15" x14ac:dyDescent="0.25">
      <c r="K191" s="15"/>
      <c r="L191" s="15"/>
      <c r="M191" s="15"/>
      <c r="N191" s="15"/>
      <c r="O191" s="15"/>
    </row>
  </sheetData>
  <mergeCells count="19">
    <mergeCell ref="A41:J41"/>
    <mergeCell ref="A53:H53"/>
    <mergeCell ref="A55:I55"/>
    <mergeCell ref="A57:J57"/>
    <mergeCell ref="A15:J15"/>
    <mergeCell ref="A17:J17"/>
    <mergeCell ref="A18:J18"/>
    <mergeCell ref="A27:J27"/>
    <mergeCell ref="A40:H40"/>
    <mergeCell ref="A10:J10"/>
    <mergeCell ref="A11:J11"/>
    <mergeCell ref="A12:J12"/>
    <mergeCell ref="A13:J13"/>
    <mergeCell ref="A14:J14"/>
    <mergeCell ref="A1:J5"/>
    <mergeCell ref="A6:J6"/>
    <mergeCell ref="A7:J7"/>
    <mergeCell ref="A8:J8"/>
    <mergeCell ref="A9:J9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zoomScaleNormal="100" workbookViewId="0">
      <selection activeCell="A19" sqref="A19"/>
    </sheetView>
  </sheetViews>
  <sheetFormatPr defaultRowHeight="15" x14ac:dyDescent="0.25"/>
  <cols>
    <col min="1" max="1" width="8.7109375" customWidth="1"/>
    <col min="2" max="2" width="23.85546875" customWidth="1"/>
    <col min="3" max="3" width="9.28515625" customWidth="1"/>
    <col min="4" max="4" width="12.85546875" customWidth="1"/>
    <col min="5" max="5" width="9.28515625" customWidth="1"/>
    <col min="6" max="6" width="10.28515625" customWidth="1"/>
    <col min="7" max="7" width="9.28515625" customWidth="1"/>
    <col min="8" max="8" width="10" customWidth="1"/>
    <col min="9" max="1018" width="8.7109375" customWidth="1"/>
    <col min="1019" max="1025" width="11.5703125"/>
  </cols>
  <sheetData>
    <row r="1" spans="1:8" x14ac:dyDescent="0.25">
      <c r="A1" s="4"/>
      <c r="B1" s="4"/>
      <c r="C1" s="4"/>
      <c r="D1" s="4"/>
      <c r="E1" s="4"/>
      <c r="F1" s="4"/>
      <c r="G1" s="4"/>
      <c r="H1" s="4"/>
    </row>
    <row r="2" spans="1:8" x14ac:dyDescent="0.25">
      <c r="A2" s="4"/>
      <c r="B2" s="4"/>
      <c r="C2" s="4"/>
      <c r="D2" s="4"/>
      <c r="E2" s="4"/>
      <c r="F2" s="4"/>
      <c r="G2" s="4"/>
      <c r="H2" s="4"/>
    </row>
    <row r="3" spans="1:8" x14ac:dyDescent="0.25">
      <c r="A3" s="4"/>
      <c r="B3" s="4"/>
      <c r="C3" s="4"/>
      <c r="D3" s="4"/>
      <c r="E3" s="4"/>
      <c r="F3" s="4"/>
      <c r="G3" s="4"/>
      <c r="H3" s="4"/>
    </row>
    <row r="4" spans="1:8" x14ac:dyDescent="0.25">
      <c r="A4" s="4"/>
      <c r="B4" s="4"/>
      <c r="C4" s="4"/>
      <c r="D4" s="4"/>
      <c r="E4" s="4"/>
      <c r="F4" s="4"/>
      <c r="G4" s="4"/>
      <c r="H4" s="4"/>
    </row>
    <row r="5" spans="1:8" x14ac:dyDescent="0.25">
      <c r="A5" s="4"/>
      <c r="B5" s="4"/>
      <c r="C5" s="4"/>
      <c r="D5" s="4"/>
      <c r="E5" s="4"/>
      <c r="F5" s="4"/>
      <c r="G5" s="4"/>
      <c r="H5" s="4"/>
    </row>
    <row r="6" spans="1:8" x14ac:dyDescent="0.25">
      <c r="A6" s="3" t="s">
        <v>95</v>
      </c>
      <c r="B6" s="3"/>
      <c r="C6" s="3"/>
      <c r="D6" s="3"/>
      <c r="E6" s="3"/>
      <c r="F6" s="3"/>
      <c r="G6" s="3"/>
      <c r="H6" s="3"/>
    </row>
    <row r="7" spans="1:8" x14ac:dyDescent="0.25">
      <c r="A7" s="2" t="s">
        <v>96</v>
      </c>
      <c r="B7" s="2"/>
      <c r="C7" s="2"/>
      <c r="D7" s="2"/>
      <c r="E7" s="2"/>
      <c r="F7" s="2"/>
      <c r="G7" s="2"/>
      <c r="H7" s="2"/>
    </row>
    <row r="8" spans="1:8" x14ac:dyDescent="0.25">
      <c r="A8" s="1" t="s">
        <v>2</v>
      </c>
      <c r="B8" s="1"/>
      <c r="C8" s="1"/>
      <c r="D8" s="1"/>
      <c r="E8" s="1"/>
      <c r="F8" s="1"/>
      <c r="G8" s="1"/>
      <c r="H8" s="1"/>
    </row>
    <row r="9" spans="1:8" x14ac:dyDescent="0.25">
      <c r="A9" s="1" t="s">
        <v>3</v>
      </c>
      <c r="B9" s="1"/>
      <c r="C9" s="1"/>
      <c r="D9" s="1"/>
      <c r="E9" s="1"/>
      <c r="F9" s="1"/>
      <c r="G9" s="1"/>
      <c r="H9" s="1"/>
    </row>
    <row r="10" spans="1:8" x14ac:dyDescent="0.25">
      <c r="A10" s="56" t="s">
        <v>97</v>
      </c>
      <c r="B10" s="56"/>
      <c r="C10" s="56"/>
      <c r="D10" s="56"/>
      <c r="E10" s="56"/>
      <c r="F10" s="56"/>
      <c r="G10" s="56"/>
      <c r="H10" s="56"/>
    </row>
    <row r="11" spans="1:8" x14ac:dyDescent="0.25">
      <c r="A11" s="57" t="s">
        <v>98</v>
      </c>
      <c r="B11" s="57"/>
      <c r="C11" s="40" t="s">
        <v>99</v>
      </c>
      <c r="D11" s="40" t="s">
        <v>100</v>
      </c>
      <c r="E11" s="40" t="s">
        <v>99</v>
      </c>
      <c r="F11" s="40" t="s">
        <v>101</v>
      </c>
      <c r="G11" s="40" t="s">
        <v>99</v>
      </c>
      <c r="H11" s="40" t="s">
        <v>102</v>
      </c>
    </row>
    <row r="12" spans="1:8" x14ac:dyDescent="0.25">
      <c r="A12" s="56" t="s">
        <v>103</v>
      </c>
      <c r="B12" s="56"/>
      <c r="C12" s="56"/>
      <c r="D12" s="56"/>
      <c r="E12" s="56"/>
      <c r="F12" s="56"/>
      <c r="G12" s="56"/>
      <c r="H12" s="56"/>
    </row>
    <row r="13" spans="1:8" x14ac:dyDescent="0.25">
      <c r="A13" s="58" t="str">
        <f>Orçamento!A17</f>
        <v>1.0 MURO LATERAL</v>
      </c>
      <c r="B13" s="58"/>
      <c r="C13" s="41">
        <f>(D13/D15)*100</f>
        <v>56.834336972456356</v>
      </c>
      <c r="D13" s="42">
        <f>Orçamento!J40</f>
        <v>30638.757699999995</v>
      </c>
      <c r="E13" s="43">
        <v>1</v>
      </c>
      <c r="F13" s="44">
        <f>D13*E13</f>
        <v>30638.757699999995</v>
      </c>
      <c r="G13" s="45"/>
      <c r="H13" s="46"/>
    </row>
    <row r="14" spans="1:8" x14ac:dyDescent="0.25">
      <c r="A14" s="58" t="str">
        <f>Orçamento!A41</f>
        <v>2.0 CERCAMENTO</v>
      </c>
      <c r="B14" s="58"/>
      <c r="C14" s="41">
        <f>(D14/D15)*100</f>
        <v>43.165663027543651</v>
      </c>
      <c r="D14" s="47">
        <f>Orçamento!J53</f>
        <v>23270.127899999999</v>
      </c>
      <c r="E14" s="43"/>
      <c r="F14" s="44"/>
      <c r="G14" s="43">
        <v>1</v>
      </c>
      <c r="H14" s="44">
        <f>D14*G14</f>
        <v>23270.127899999999</v>
      </c>
    </row>
    <row r="15" spans="1:8" x14ac:dyDescent="0.25">
      <c r="A15" s="3" t="s">
        <v>63</v>
      </c>
      <c r="B15" s="3"/>
      <c r="C15" s="43">
        <v>1</v>
      </c>
      <c r="D15" s="47">
        <f>SUM(D13:D14)</f>
        <v>53908.885599999994</v>
      </c>
      <c r="E15" s="43">
        <f>((F15*100)/D15)%</f>
        <v>0.56834336972456356</v>
      </c>
      <c r="F15" s="48">
        <f>SUM(F13:F14)</f>
        <v>30638.757699999995</v>
      </c>
      <c r="G15" s="43">
        <f>((H15*100)/D15)%</f>
        <v>0.43165663027543649</v>
      </c>
      <c r="H15" s="49">
        <f>SUM(H13:H14)</f>
        <v>23270.127899999999</v>
      </c>
    </row>
    <row r="16" spans="1:8" x14ac:dyDescent="0.25">
      <c r="A16" s="3" t="s">
        <v>104</v>
      </c>
      <c r="B16" s="3"/>
      <c r="C16" s="43">
        <v>1</v>
      </c>
      <c r="D16" s="50"/>
      <c r="E16" s="51">
        <f>E15</f>
        <v>0.56834336972456356</v>
      </c>
      <c r="F16" s="48">
        <f>F15</f>
        <v>30638.757699999995</v>
      </c>
      <c r="G16" s="51">
        <f>G15+E15</f>
        <v>1</v>
      </c>
      <c r="H16" s="52">
        <f>H15+F15</f>
        <v>53908.885599999994</v>
      </c>
    </row>
    <row r="17" spans="1:8" x14ac:dyDescent="0.25">
      <c r="A17" s="53"/>
      <c r="B17" s="53"/>
      <c r="C17" s="53"/>
      <c r="D17" s="53"/>
      <c r="E17" s="54"/>
      <c r="F17" s="54"/>
      <c r="G17" s="54"/>
      <c r="H17" s="54"/>
    </row>
    <row r="18" spans="1:8" ht="15" customHeight="1" x14ac:dyDescent="0.25">
      <c r="A18" s="59" t="s">
        <v>105</v>
      </c>
      <c r="B18" s="59"/>
      <c r="C18" s="59"/>
      <c r="D18" s="59"/>
      <c r="E18" s="59"/>
      <c r="F18" s="59"/>
      <c r="G18" s="59"/>
      <c r="H18" s="59"/>
    </row>
    <row r="19" spans="1:8" x14ac:dyDescent="0.25">
      <c r="A19" s="53"/>
      <c r="B19" s="55"/>
      <c r="C19" s="55"/>
      <c r="D19" s="53"/>
      <c r="E19" s="53"/>
      <c r="F19" s="55"/>
      <c r="G19" s="55"/>
      <c r="H19" s="55"/>
    </row>
    <row r="20" spans="1:8" x14ac:dyDescent="0.25">
      <c r="A20" s="53"/>
      <c r="B20" s="37" t="s">
        <v>106</v>
      </c>
      <c r="C20" s="38"/>
      <c r="D20" s="38"/>
      <c r="E20" s="37"/>
      <c r="F20" s="37" t="s">
        <v>107</v>
      </c>
      <c r="G20" s="38"/>
    </row>
    <row r="21" spans="1:8" x14ac:dyDescent="0.25">
      <c r="A21" s="53"/>
      <c r="B21" s="38" t="s">
        <v>91</v>
      </c>
      <c r="C21" s="38"/>
      <c r="D21" s="38"/>
      <c r="E21" s="38"/>
      <c r="F21" s="38" t="s">
        <v>92</v>
      </c>
      <c r="G21" s="38"/>
    </row>
    <row r="22" spans="1:8" x14ac:dyDescent="0.25">
      <c r="A22" s="53"/>
      <c r="B22" s="38" t="s">
        <v>93</v>
      </c>
      <c r="C22" s="39"/>
      <c r="D22" s="39"/>
      <c r="E22" s="38"/>
      <c r="F22" s="38" t="s">
        <v>94</v>
      </c>
      <c r="G22" s="39"/>
    </row>
  </sheetData>
  <mergeCells count="13">
    <mergeCell ref="A15:B15"/>
    <mergeCell ref="A16:B16"/>
    <mergeCell ref="A18:H18"/>
    <mergeCell ref="A10:H10"/>
    <mergeCell ref="A11:B11"/>
    <mergeCell ref="A12:H12"/>
    <mergeCell ref="A13:B13"/>
    <mergeCell ref="A14:B14"/>
    <mergeCell ref="A1:H5"/>
    <mergeCell ref="A6:H6"/>
    <mergeCell ref="A7:H7"/>
    <mergeCell ref="A8:H8"/>
    <mergeCell ref="A9:H9"/>
  </mergeCells>
  <pageMargins left="0.7" right="0.7" top="0.75" bottom="0.75" header="0.51180555555555496" footer="0.51180555555555496"/>
  <pageSetup paperSize="9" firstPageNumber="0" fitToHeight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</vt:lpstr>
      <vt:lpstr>Cronograma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TecleEnter</dc:creator>
  <dc:description/>
  <cp:lastModifiedBy>TecleEnter</cp:lastModifiedBy>
  <cp:revision>66</cp:revision>
  <cp:lastPrinted>2019-11-12T17:06:26Z</cp:lastPrinted>
  <dcterms:created xsi:type="dcterms:W3CDTF">2018-09-24T17:21:08Z</dcterms:created>
  <dcterms:modified xsi:type="dcterms:W3CDTF">2022-03-21T13:26:43Z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