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jpeg" ContentType="image/jpeg"/>
  <Override PartName="/xl/media/image2.jpeg" ContentType="image/jpe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rçamento" sheetId="1" state="visible" r:id="rId2"/>
    <sheet name="Cronograma" sheetId="2" state="visible" r:id="rId3"/>
    <sheet name="Plan1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<sst xmlns="http://schemas.openxmlformats.org/spreadsheetml/2006/main" count="1687" uniqueCount="836">
  <si>
    <t xml:space="preserve">ORÇAMENTO  EMEF JOÃO PADILHA DO NASCIMENTO (ANEXO)</t>
  </si>
  <si>
    <r>
      <rPr>
        <b val="true"/>
        <sz val="10"/>
        <color rgb="FF000000"/>
        <rFont val="Times New Roman"/>
        <family val="1"/>
        <charset val="1"/>
      </rPr>
      <t xml:space="preserve">EMPREENDIMENTO:</t>
    </r>
    <r>
      <rPr>
        <b val="true"/>
        <sz val="10"/>
        <rFont val="Times New Roman"/>
        <family val="1"/>
        <charset val="1"/>
      </rPr>
      <t xml:space="preserve"> AMPLIAÇÃO E REFORMA DA EMEF JOÃO PADILHA DO NASCIMENTO (ANEXO)</t>
    </r>
  </si>
  <si>
    <t xml:space="preserve">PROPRIETÁRIO: MUNICÍPIO DE TRÊS PASSOS</t>
  </si>
  <si>
    <t xml:space="preserve">ENDEREÇO: DOM PEDRO I, Nº 471</t>
  </si>
  <si>
    <t xml:space="preserve">ÁREA TOTAL: 515,75M²</t>
  </si>
  <si>
    <t xml:space="preserve">CUSTO TOTAL: R$ 1.062.446,12</t>
  </si>
  <si>
    <t xml:space="preserve">SINAPI 07/2021</t>
  </si>
  <si>
    <t xml:space="preserve">NÃO DESONERADO - ENCARGOS SOCIAIS SOBRE PREÇOS DA MÃO-DE-OBRA: 111,10%(HORA) 69,16%(MÊS)</t>
  </si>
  <si>
    <t xml:space="preserve">BDI 25%</t>
  </si>
  <si>
    <t xml:space="preserve">Código SINAPI 07/2021</t>
  </si>
  <si>
    <t xml:space="preserve">Item</t>
  </si>
  <si>
    <t xml:space="preserve">Discriminações de Serviços</t>
  </si>
  <si>
    <t xml:space="preserve">Uni</t>
  </si>
  <si>
    <t xml:space="preserve">Quantidades (A)</t>
  </si>
  <si>
    <t xml:space="preserve">Custo Unitário (R$)</t>
  </si>
  <si>
    <t xml:space="preserve">Material (B)</t>
  </si>
  <si>
    <t xml:space="preserve">Mão de Obra (C)</t>
  </si>
  <si>
    <t xml:space="preserve">TOTAL (R$)   D = A x (B+C)</t>
  </si>
  <si>
    <t xml:space="preserve">AMPLIAÇÃO</t>
  </si>
  <si>
    <t xml:space="preserve">1.0 SERVIÇOS INICIAIS</t>
  </si>
  <si>
    <t xml:space="preserve">I 4813</t>
  </si>
  <si>
    <t xml:space="preserve">1.1</t>
  </si>
  <si>
    <t xml:space="preserve">EXECUÇÃO DE DEPÓSITO EM CANTEIRO DE OBRA EM CHAPA DE MADEIRA COMPENSADA, NÃO INCLUSO MOBILIÁRIO.</t>
  </si>
  <si>
    <t xml:space="preserve">m²</t>
  </si>
  <si>
    <t xml:space="preserve">1.2</t>
  </si>
  <si>
    <t xml:space="preserve">1.3</t>
  </si>
  <si>
    <t xml:space="preserve">REMOÇÃO DE RAÍZES REMANESCENTES DE TRONCO DE ÁRVORE COM DIÂMETRO MAIOR OU IGUAL A 0,40 M E MENOR QUE 0,60 M</t>
  </si>
  <si>
    <t xml:space="preserve">uni</t>
  </si>
  <si>
    <t xml:space="preserve">1.4</t>
  </si>
  <si>
    <t xml:space="preserve">TAPUME COM TELHA METÁLICA</t>
  </si>
  <si>
    <t xml:space="preserve">1.5</t>
  </si>
  <si>
    <t xml:space="preserve">REMOÇÃO DE TAPUME/ CHAPAS METÁLICAS E DE MADEIRA, DE FORMA MANUAL, SEM REAPROVEITAMENTO</t>
  </si>
  <si>
    <t xml:space="preserve">TOTAL</t>
  </si>
  <si>
    <t xml:space="preserve">2.0 TRABALHOS EM TERRA</t>
  </si>
  <si>
    <t xml:space="preserve">2.1</t>
  </si>
  <si>
    <t xml:space="preserve">LIMPEZA MANUAL DE VEGETAÇÃO EM TERRENO COM ENXADA</t>
  </si>
  <si>
    <t xml:space="preserve">2.2</t>
  </si>
  <si>
    <t xml:space="preserve">LOCACAO CONVENCIONAL DE OBRA, UTILIZANDO GABARITO DE TÁBUAS CORRIDAS PONTALETADAS A CADA 2,00M - 2 UTILIZAÇÕES</t>
  </si>
  <si>
    <t xml:space="preserve">m</t>
  </si>
  <si>
    <t xml:space="preserve">2.3</t>
  </si>
  <si>
    <t xml:space="preserve">ESCAVAÇÃO MANUAL DE VALA PARA VIGA BALDRAME, SEM PREVISÃO DE FÔRMA </t>
  </si>
  <si>
    <t xml:space="preserve">m³</t>
  </si>
  <si>
    <t xml:space="preserve">2.4</t>
  </si>
  <si>
    <t xml:space="preserve">ESCAVAÇÃO MANUAL PARA  SAPATA, SEM PREVISÃO DE FÔRMA</t>
  </si>
  <si>
    <t xml:space="preserve">2.5</t>
  </si>
  <si>
    <t xml:space="preserve">REATERRO MANUAL APILOADO COM SOQUETE</t>
  </si>
  <si>
    <t xml:space="preserve">3.0 INFRAESTRUTURA</t>
  </si>
  <si>
    <t xml:space="preserve">3.1</t>
  </si>
  <si>
    <t xml:space="preserve">CONCRETO CICLÓPICO FCK = 15MPA, 30% PEDRA DE MÃO EM VOLUME REAL, INCLUSIVE LANÇAMENTO</t>
  </si>
  <si>
    <t xml:space="preserve">3.2</t>
  </si>
  <si>
    <t xml:space="preserve">LASTRO DE CONCRETO MAGRO, APLICADO EM BLOCOS DE COROAMENTO OU SAPATAS, ESPESSURA DE 5 CM</t>
  </si>
  <si>
    <t xml:space="preserve">3.3</t>
  </si>
  <si>
    <t xml:space="preserve">ARMAÇÃO DE VIGA BALDRAME E SAPATA UTILIZANDO AÇO CA-50 DE 10 MM – MONTAGEM</t>
  </si>
  <si>
    <t xml:space="preserve">Kg</t>
  </si>
  <si>
    <t xml:space="preserve">3.4</t>
  </si>
  <si>
    <t xml:space="preserve">ARMAÇÃO DE VIGA BALDRAME UTILIZANDO AÇO CA-60 DE 5 MM- MONTAGEM</t>
  </si>
  <si>
    <t xml:space="preserve">3.5</t>
  </si>
  <si>
    <t xml:space="preserve">FABRICAÇÃO, MONTAGEM E DESMONTAGEM DE FÔRMA PARA VIGA BALDRAME, EM MADEIRA SERRADA, E=25 MM, 1 UTILIZAÇÃO</t>
  </si>
  <si>
    <t xml:space="preserve">3.6</t>
  </si>
  <si>
    <t xml:space="preserve">CONCRETAGEM DE BLOCOS DE COROAMENTO E VIGAS BALDRAMES, FCK 30 MPA, COM USO DE BOMBA LANÇAMENTO, ADENSAMENTO E ACABAMENTO.</t>
  </si>
  <si>
    <t xml:space="preserve">3.7</t>
  </si>
  <si>
    <t xml:space="preserve">IMPERMEABILIZAÇÃO DE SUPERFÍCIE COM EMULSÃO ASFÁLTICA, 2 DEMÃOS</t>
  </si>
  <si>
    <t xml:space="preserve">4.0 PAREDES</t>
  </si>
  <si>
    <t xml:space="preserve">4.1</t>
  </si>
  <si>
    <t xml:space="preserve">ALVENARIA DE VEDAÇÃO DE BLOCOS CERÂMICOS FURADOS NA HORIZONTAL DE 11,5X19X19CM (ESPESSURA 11,5M) DE PAREDES COM ÁREA LÍQUIDA MAIOR OU IGUAL A 6M² SEM VÃOS E ARGAMASSA DE ASSENTAMENTO COM PREPARO EM BETONEIRA.</t>
  </si>
  <si>
    <t xml:space="preserve">4.2</t>
  </si>
  <si>
    <t xml:space="preserve">DIVISORIA SANITÁRIA, TIPO CABINE, EM GRANITO CINZA POLIDO, ESP = 3CM,ASSENTADO COM ARGAMASSA COLANTE AC III-E</t>
  </si>
  <si>
    <t xml:space="preserve">5.0 SUPERESTRUTURA</t>
  </si>
  <si>
    <t xml:space="preserve">5.1 PILARES</t>
  </si>
  <si>
    <t xml:space="preserve">5.1.1</t>
  </si>
  <si>
    <t xml:space="preserve">ARMAÇÃO DE PILAR DE UMA ESTRUTURA CONVENCIONAL DE CONCRETO ARMADO EM UMA EDIFICAÇÃO TÉRREA OU SOBRADO UTILIZANDO AÇO CA-50 DE 10,0 M M – MONTAGEM</t>
  </si>
  <si>
    <t xml:space="preserve">5.1.2</t>
  </si>
  <si>
    <t xml:space="preserve">ARMAÇÃO DE PILAR DE UMA ESTRUTURA CONVENCIONAL DE CONCRETO ARMADO EM UMA EDIFICAÇÃO TÉRREA OU SOBRADO UTILIZANDO AÇO CA-60 DE 5,0 MM – MONTAGEM</t>
  </si>
  <si>
    <t xml:space="preserve">5.1.3</t>
  </si>
  <si>
    <t xml:space="preserve">FABRICAÇÃO DE FÔRMA PARA PILARES E ESTRUTURAS SIMILARES, EM CHAPA DE MADEIRA COMPENSADA RESINADA, E = 17 MM.</t>
  </si>
  <si>
    <t xml:space="preserve">5.1.4</t>
  </si>
  <si>
    <t xml:space="preserve">CONCRETAGEM DE PILARES, FCK = 25 MPA, COM USO DE BOMBA EM EDIFICAÇÃO COM SEÇÃO MÉDIA DE PILARES MENOR OU IGUAL A 0,25 M² - LANÇAMENTO, ADENS AMENTO E ACABAMENTO</t>
  </si>
  <si>
    <t xml:space="preserve">5.2 VIGAS</t>
  </si>
  <si>
    <t xml:space="preserve">5.2.1</t>
  </si>
  <si>
    <t xml:space="preserve">ARMAÇÃO DE VIGA DE UMA ESTRUTURA CONVENCIONAL DE CONCRETO ARMADO EM UMA EDIFICAÇÃO TÉRREA OU SOBRADO UTILIZANDO AÇO CA-50 DE 10,0 M M – MONTAGEM</t>
  </si>
  <si>
    <t xml:space="preserve">5.2.2</t>
  </si>
  <si>
    <t xml:space="preserve">ARMAÇÃO DE VIGA DE UMA ESTRUTURA CONVENCIONAL DE CONCRETO ARMADO EM UMA EDIFICAÇÃO TÉRREA OU SOBRADO UTILIZANDO AÇO CA-60 DE 5,0 MM – MONTAGEM</t>
  </si>
  <si>
    <t xml:space="preserve">5.2.3</t>
  </si>
  <si>
    <t xml:space="preserve">FABRICAÇÃO DE FÔRMA PARA VIGAS, EM CHAPA DE MADEIRA COMPENSADA RESINADA, E = 17 MM.</t>
  </si>
  <si>
    <t xml:space="preserve">5.2.4</t>
  </si>
  <si>
    <t xml:space="preserve">CONCRETAGEM DE VIGAS, FCK=20 MPA, COM USO DE BOMBA EM EDIFICAÇÃO - LANÇAMENTO, ADENSAMENTO E ACABAMENTO.</t>
  </si>
  <si>
    <t xml:space="preserve">5.3 LAJES</t>
  </si>
  <si>
    <t xml:space="preserve">5.3.1</t>
  </si>
  <si>
    <t xml:space="preserve">LAJE PRÉ-MOLDADA UNIDIRECIONAL, BIAPOIADA, PARA FORRO, ENCHIMENTO EM CERÂMICA, VIGOTA CONVENCIONAL, ALTURA TOTAL DA LAJE (ENCHIMENTO+CAPA) = (8+3).</t>
  </si>
  <si>
    <t xml:space="preserve">6.0 VERGAS E CONTRAVERGAS</t>
  </si>
  <si>
    <t xml:space="preserve">6.1</t>
  </si>
  <si>
    <t xml:space="preserve">CONTRAVERGA MOLDADA IN LOCO EM CONCRETO PARA VÃOS DE MAIS DE 1,5 M DE COMPRIMENTO</t>
  </si>
  <si>
    <t xml:space="preserve">6.2</t>
  </si>
  <si>
    <t xml:space="preserve">VERGA MOLDADA IN LOCO EM CONCRETO PARA PORTAS COM ATÉ 1,5 M DE VÃO.</t>
  </si>
  <si>
    <t xml:space="preserve">6.3</t>
  </si>
  <si>
    <t xml:space="preserve">7.0 ESTRUTURAS DECORATIVAS</t>
  </si>
  <si>
    <t xml:space="preserve">7.1 PILARETES</t>
  </si>
  <si>
    <t xml:space="preserve">7.1.1</t>
  </si>
  <si>
    <t xml:space="preserve">7.1.2</t>
  </si>
  <si>
    <t xml:space="preserve">ARMAÇÃO DE PILAR DE UMA ESTRUTURA CONVENCIONAL DE CONCRETO ARMADO EM UMA EDIFICAÇÃO TÉRREA OU SOBRADO UTILIZANDO AÇO CA-50 DE 8,0 MM – MONTAGEM</t>
  </si>
  <si>
    <t xml:space="preserve">7.1.3</t>
  </si>
  <si>
    <t xml:space="preserve">7.1.4</t>
  </si>
  <si>
    <t xml:space="preserve">7.1.5</t>
  </si>
  <si>
    <t xml:space="preserve">CONCRETAGEM DE PILARES, FCK = 20 MPA, COM USO DE BALDES EM EDIFICAÇÃO COM SEÇÃO MÉDIA DE PILARES MENOR OU IGUAL A 0,25 M² - LANÇAMENTO, ADE NSAMENTO E ACABAMENTO.</t>
  </si>
  <si>
    <t xml:space="preserve">7.2 MOLDURAS</t>
  </si>
  <si>
    <t xml:space="preserve">7.2.1</t>
  </si>
  <si>
    <t xml:space="preserve">ARMAÇÃO DE VIGA DE UMA ESTRUTURA CONVENCIONAL DE CONCRETO ARMADO EM UMA EDIFICAÇÃO TÉRREA OU SOBRADO UTILIZANDO AÇO CA-50 DE 8,0 MM – MONTAGEM</t>
  </si>
  <si>
    <t xml:space="preserve">7.2.2</t>
  </si>
  <si>
    <t xml:space="preserve">7.2.3</t>
  </si>
  <si>
    <t xml:space="preserve">7.2.4</t>
  </si>
  <si>
    <t xml:space="preserve">7.3 VIGA AÉREA</t>
  </si>
  <si>
    <t xml:space="preserve">7.3.1</t>
  </si>
  <si>
    <t xml:space="preserve">7.3.2</t>
  </si>
  <si>
    <t xml:space="preserve">7.3.3</t>
  </si>
  <si>
    <t xml:space="preserve">7.3.4</t>
  </si>
  <si>
    <t xml:space="preserve">8.0 PLATIBANDA</t>
  </si>
  <si>
    <t xml:space="preserve">8.1</t>
  </si>
  <si>
    <t xml:space="preserve">8.2</t>
  </si>
  <si>
    <t xml:space="preserve">CINTA DE AMARRAÇÃO DE ALVENARIA MOLDADA IN LOCO EM CONCRETO (30CM)</t>
  </si>
  <si>
    <t xml:space="preserve">8.3</t>
  </si>
  <si>
    <t xml:space="preserve">9.0 COBERTURA</t>
  </si>
  <si>
    <t xml:space="preserve">9.1</t>
  </si>
  <si>
    <t xml:space="preserve">9.2</t>
  </si>
  <si>
    <t xml:space="preserve">9.3</t>
  </si>
  <si>
    <t xml:space="preserve">9.4</t>
  </si>
  <si>
    <t xml:space="preserve">9.5</t>
  </si>
  <si>
    <t xml:space="preserve">9.6</t>
  </si>
  <si>
    <t xml:space="preserve">LAJE PRÉ-MOLDADA UNIDIRECIONAL, BIAPOIADA, PARA FORRO, ENCHIMENTO EM CERÂMICA, VIGOTA CONVENCIONAL, ALTURA TOTAL DA LAJE (ENCHIMENTO+CAPA) = (8+3) (LAJE INCLINADA)</t>
  </si>
  <si>
    <t xml:space="preserve">9.7</t>
  </si>
  <si>
    <t xml:space="preserve">IMPERMEABILIZAÇÃO DE SUPERFÍCIE COM MANTA ASFÁLTICA, UMA CAMADA, INCLUSIVE APLICAÇÃO DE PRIMER ASFÁLTICO, E=3MM.</t>
  </si>
  <si>
    <t xml:space="preserve">9.8</t>
  </si>
  <si>
    <t xml:space="preserve">RUFO EXTERNO/INTERNO EM CHAPA DE AÇO GALVANIZADO NÚMERO 26, CORTE DE 33 CM, INCLUSO IÇAMENTO</t>
  </si>
  <si>
    <t xml:space="preserve">9.9</t>
  </si>
  <si>
    <t xml:space="preserve">JANELA DE ALUMÍNIO TIPO MAXIM-AR, COM VIDROS, BATENTE E FERRAGENS. EXCLUSIVE ALIZAR, ACABAMENTO E CONTRAMARCO. FORNECIMENTO E INSTALAÇÃO</t>
  </si>
  <si>
    <t xml:space="preserve">9.10</t>
  </si>
  <si>
    <t xml:space="preserve">FABRICAÇÃO E INSTALAÇÃO DE TESOURA INTEIRA EM AÇO, VÃO DE 5 M, PARA TELHA ONDULADA DE FIBROCIMENTO, METÁLICA, PLÁSTICA OU TERMOACÚSTICA, INC LUSO IÇAMENTO.</t>
  </si>
  <si>
    <t xml:space="preserve">9.11</t>
  </si>
  <si>
    <t xml:space="preserve">FABRICAÇÃO E INSTALAÇÃO DE TESOURA INTEIRA EM AÇO, VÃO DE 6 M, PARA TELHA ONDULADA DE FIBROCIMENTO, METÁLICA, PLÁSTICA OU TERMOACÚSTICA, INC LUSO IÇAMENTO.</t>
  </si>
  <si>
    <t xml:space="preserve">9.12</t>
  </si>
  <si>
    <t xml:space="preserve">TRAMA DE AÇO COMPOSTA POR TERÇAS PARA TELHADOS DE ATÉ 2 ÁGUAS PARA TELHA ONDULADA DE FIBROCIMENTO, METÁLICA, PLÁSTICA OU TERMOACÚSTICA, INCL USO TRANSPORTE VERTICAL</t>
  </si>
  <si>
    <t xml:space="preserve">9.13</t>
  </si>
  <si>
    <t xml:space="preserve">TELHAMENTO COM TELHA DE AÇO/ALUMÍNIO E = 0,5 MM, COM ATÉ 2 ÁGUAS, INCLUSO IÇAMENTO</t>
  </si>
  <si>
    <t xml:space="preserve">10.0 PISO</t>
  </si>
  <si>
    <t xml:space="preserve">10.1</t>
  </si>
  <si>
    <t xml:space="preserve">LASTRO COM MATERIAL GRANULAR, APLICADO EM PISOS OU LAJES SOBRE SOLO, ESPESSURA DE *5 CM*</t>
  </si>
  <si>
    <t xml:space="preserve">10.2</t>
  </si>
  <si>
    <t xml:space="preserve">CONTRAPISO EM ARGAMASSA TRAÇO 1:4 (CIMENTO E AREIA), PREPARO MECÂNICO COM BETONEIRA 400 L, ESPE SSURA 3CM.</t>
  </si>
  <si>
    <t xml:space="preserve">10.3</t>
  </si>
  <si>
    <t xml:space="preserve">CONTRAPISO AUTONIVELANTE, APLICADO SOBRE LAJE, ADERIDO, ESPESSURA 2CM</t>
  </si>
  <si>
    <t xml:space="preserve">10.4</t>
  </si>
  <si>
    <t xml:space="preserve">REVESTIMENTO CERÂMICO PARA PISO COM PLACAS TIPO PORCELANATO DE DIMENSÕES 45X45 CM APLICADA EM AMBIENTES DE ÁREA MAIOR QUE 10 M²</t>
  </si>
  <si>
    <t xml:space="preserve">10.5</t>
  </si>
  <si>
    <t xml:space="preserve">EXECUÇÃO DE PASSEIO (CALÇADA) OU PISO DE CONCRETO COM CONCRETO MOLDADO EXECUÇÃO DE PASSEIO (CALÇADA) OU PISO DE CONCRETO COM CONCRETO MOLDADO IN LOCO, USINADO, ACABAMENTO CONVENCIONAL, NÃO ARMADO (RAMPAS)</t>
  </si>
  <si>
    <t xml:space="preserve">11.0 REVESTIMENTOS</t>
  </si>
  <si>
    <t xml:space="preserve">11.1 ESTRUTURAS</t>
  </si>
  <si>
    <t xml:space="preserve">11.1.1</t>
  </si>
  <si>
    <t xml:space="preserve">CHAPISCO APLICADO EM ALVENARIAS E ESTRUTURAS DE CONCRETO INTERNAS, COM COLHER DE PEDREIRO. ARGAMASSA TRAÇO 1:3 COM PREPARO EM BETONEIRA 400 L.</t>
  </si>
  <si>
    <t xml:space="preserve">11.1.2</t>
  </si>
  <si>
    <t xml:space="preserve">MASSA ÚNICA, PARA RECEBIMENTO DE PINTURA, EM ARGAMASSA TRAÇO 1:2:8, PREPARO MECÂNICO COM BETONEIRA 400L, APLICADA MANUALMENTE EM FACES INTER NAS DE PAREDES, ESPESSURA DE 20MM, COM EXECUÇÃO DE TALISCAS</t>
  </si>
  <si>
    <t xml:space="preserve">Pesquisa de preço</t>
  </si>
  <si>
    <t xml:space="preserve">11.1.3</t>
  </si>
  <si>
    <t xml:space="preserve">MASSA FINA, APLICADA MANUALMENTE EM FACES INTERNAS DE PAREDES, ESPESSURA DE 2MM</t>
  </si>
  <si>
    <t xml:space="preserve">11.1.4</t>
  </si>
  <si>
    <t xml:space="preserve">REVESTIMENTO CERÂMICO PARA PAREDES INTERNAS COM PLACAS TIPO ESMALTADA EXTRA DE DIMENSÕES 33X45 CM APLICADAS EM AMBIENTES DE ÁREA MAIOR QUE 5 M² NA ALTURA INTEIRA DAS PAREDES. (BANHEIROS)</t>
  </si>
  <si>
    <t xml:space="preserve">11.2 TETO</t>
  </si>
  <si>
    <t xml:space="preserve">11.2.1</t>
  </si>
  <si>
    <t xml:space="preserve">CHAPISCO APLICADO NO TETO, COM DESEMPENADEIRA DENTADA. ARGAMASSA INDUSTRIALIZADA COM PREPARO MANUAL</t>
  </si>
  <si>
    <t xml:space="preserve">11.2.2</t>
  </si>
  <si>
    <t xml:space="preserve">MASSA ÚNICA, PARA RECEBIMENTO DE PINTURA, EM ARGAMASSA TRAÇO 1:2:8, PREPARO MECÂNICO COM BETONEIRA 400L, APLICADA MANUALMENTE EM TETO, ESPES SURA DE 10MM, COM EXECUÇÃO DE TALISCAS.</t>
  </si>
  <si>
    <t xml:space="preserve">11.2.3</t>
  </si>
  <si>
    <t xml:space="preserve">11.2.4</t>
  </si>
  <si>
    <t xml:space="preserve">ACABAMENTOS PARA FORRO (MOLDURA DE GESSO).</t>
  </si>
  <si>
    <t xml:space="preserve">11.3 PLATIBANDA</t>
  </si>
  <si>
    <t xml:space="preserve">11.3.1</t>
  </si>
  <si>
    <t xml:space="preserve">11.3.2</t>
  </si>
  <si>
    <t xml:space="preserve">11.3.3</t>
  </si>
  <si>
    <t xml:space="preserve">11.3.4</t>
  </si>
  <si>
    <t xml:space="preserve">IMPERMEABILIZANTE FLEXIVEL BRANCO DE BASE ACRILICA PARA COBERTURAS</t>
  </si>
  <si>
    <t xml:space="preserve">11.4 COBERTURA</t>
  </si>
  <si>
    <t xml:space="preserve">11.4.1</t>
  </si>
  <si>
    <t xml:space="preserve">11.4.2</t>
  </si>
  <si>
    <t xml:space="preserve">11.4.3</t>
  </si>
  <si>
    <t xml:space="preserve">12.0 ESQUADRIAS</t>
  </si>
  <si>
    <t xml:space="preserve">12.1 PORTAS</t>
  </si>
  <si>
    <t xml:space="preserve">12.1.1</t>
  </si>
  <si>
    <t xml:space="preserve">PORTA EXTERNA DE VIDRO TEMPERADO, E=10MM, UMA FOLHA, DE ABRIR, COM FERRAGEM COMPOSTA DE DOBRADIÇA SUPERIOR E INFERIOR, COM TRINCO E FECHADURA DO LADO EXTERNO, DE 100X210CM - COMPLETA </t>
  </si>
  <si>
    <t xml:space="preserve">12.1.2</t>
  </si>
  <si>
    <t xml:space="preserve">ALIZAR DE 5X1,5CM PARA PORTA FIXADO COM PREGOS, PADRÃO MÉDIO - FORNECIMENTO E INSTALAÇÃO</t>
  </si>
  <si>
    <t xml:space="preserve">12.1.3</t>
  </si>
  <si>
    <t xml:space="preserve">BARRA ANTIPANICO DUPLA, PARA PORTA DE VIDRO, COM FECHADURA NO LADO OPOSTO, COR CINZA</t>
  </si>
  <si>
    <t xml:space="preserve">12.1.4</t>
  </si>
  <si>
    <t xml:space="preserve">BARRA ANTIPANICO DUPLA, PARA PORTA DE VIDRO, CEGA EM LADO OPOSTO, COR CINZA</t>
  </si>
  <si>
    <t xml:space="preserve">12.1.5</t>
  </si>
  <si>
    <t xml:space="preserve">KIT DE PORTA-PRONTA DE MADEIRA EM ACABAMENTO MELAMÍNICO BRANCO, FOLHA PESADA OU SUPERPESADA, 90X210CM, FIXAÇÃO COM PREENCHIMENTO TOTAL DE ES PUMA EXPANSIVA - FORNECIMENTO E INSTALAÇÃO.</t>
  </si>
  <si>
    <t xml:space="preserve">1.4.10</t>
  </si>
  <si>
    <t xml:space="preserve">PORTA EM ALUMÍNIO DE ABRIR TIPO VENEZIANA COM GUARNIÇÃO, FIXAÇÃO COM PARAFUSOS - FORNECIMENTO E INSTALAÇÃO (BANHEIROS)</t>
  </si>
  <si>
    <t xml:space="preserve">12.2.6</t>
  </si>
  <si>
    <t xml:space="preserve">GRADIL EM ALUMÍNIO FIXADO EM VÃOS, FORMADO POR TUBOS DE ¾"</t>
  </si>
  <si>
    <t xml:space="preserve">12.2 JANELAS</t>
  </si>
  <si>
    <t xml:space="preserve">12.2.1</t>
  </si>
  <si>
    <t xml:space="preserve">PEITORIL LINEAR EM GRANITO OU MÁRMORE, L = 15CM, COMPRIMENTO DE ATÉ 2M, ASSENTADO COM ARGAMASSA 1:6 COM ADITIVO.</t>
  </si>
  <si>
    <t xml:space="preserve">12.2.2</t>
  </si>
  <si>
    <t xml:space="preserve">12.2.3</t>
  </si>
  <si>
    <t xml:space="preserve">JANELA FIXA DE ALUMÍNIO PARA VIDRO, COM VIDRO, BATENTE E FERRAGENS. EXCLUSIVE ACABAMENTO, ALIZAR E CONTRAMARCO. FORNECIMENTO E INSTALAÇÃO.</t>
  </si>
  <si>
    <t xml:space="preserve">12.2.4</t>
  </si>
  <si>
    <t xml:space="preserve">12.2.5</t>
  </si>
  <si>
    <t xml:space="preserve">JANELA DE ALUMÍNIO DE CORRER COM 4 FOLHAS PARA VIDROS, COM VIDROS, BATENTE, ACABAMENTO COM ACETATO OU BRILHANTE E FERRAGENS. EXCLUSIVE ALIZA R E CONTRAMARCO. FORNECIMENTO E INSTALAÇÃO.</t>
  </si>
  <si>
    <t xml:space="preserve">12.2.7</t>
  </si>
  <si>
    <t xml:space="preserve">BRISE VERTICAL, MÓVEL, COM LÂMINA DE 20CM, EM ALUMÍNIO, INCLUSIVE ACESSÓRIOS -FORNECIMENTO E INSTALAÇÃO</t>
  </si>
  <si>
    <t xml:space="preserve">13.0 PINTURA</t>
  </si>
  <si>
    <t xml:space="preserve">13.1</t>
  </si>
  <si>
    <t xml:space="preserve">LIMPEZA DE SUPERFÍCIE COM JATO DE ALTA PRESSÃO</t>
  </si>
  <si>
    <t xml:space="preserve">13.2</t>
  </si>
  <si>
    <t xml:space="preserve">LIXAMENTO PARA APLICAÇÃO DE FUNDO OU PINTURA</t>
  </si>
  <si>
    <t xml:space="preserve">13.3</t>
  </si>
  <si>
    <t xml:space="preserve">COLOCAÇÃO DE FITA PROTETORA PARA PINTURA</t>
  </si>
  <si>
    <t xml:space="preserve">13.4</t>
  </si>
  <si>
    <t xml:space="preserve">APLICAÇÃO DE FUNDO SELADOR ACRÍLICO EM PAREDES, UMA DEMÃO</t>
  </si>
  <si>
    <t xml:space="preserve">13.5</t>
  </si>
  <si>
    <t xml:space="preserve">APLICAÇÃO MANUAL DE PINTURA COM TINTA LÁTEX ACRÍLICA EM PAREDES, DUAS DEMÃOS</t>
  </si>
  <si>
    <t xml:space="preserve">13.6</t>
  </si>
  <si>
    <t xml:space="preserve">APLICAÇÃO DE FUNDO SELADOR ACRÍLICO EM TETO, UMA DEMÃO.</t>
  </si>
  <si>
    <t xml:space="preserve">13.7</t>
  </si>
  <si>
    <t xml:space="preserve">APLICAÇÃO MANUAL DE PINTURA COM TINTA LÁTEX ACRÍLICA EM TETO, DUAS DEMÃOS.</t>
  </si>
  <si>
    <t xml:space="preserve">14. MOBILIÁRIOS BANHEIRO</t>
  </si>
  <si>
    <t xml:space="preserve">14.1</t>
  </si>
  <si>
    <t xml:space="preserve">VASO SANITÁRIO INFANTIL LOUÇA BRANCA - FORNECIMENTO E INSTALACAO</t>
  </si>
  <si>
    <t xml:space="preserve">14.2</t>
  </si>
  <si>
    <t xml:space="preserve">ASSENTO SANITÁRIO INFANTIL - FORNECIMENTO E INSTALACAO</t>
  </si>
  <si>
    <t xml:space="preserve">14.3</t>
  </si>
  <si>
    <t xml:space="preserve">ENGATE FLEXÍVEL EM PLÁSTICO BRANCO, 1/2 X 30CM - FORNECIMENTO E INSTALAÇÃO</t>
  </si>
  <si>
    <t xml:space="preserve">14.4</t>
  </si>
  <si>
    <t xml:space="preserve">CAIXA ACOPLADA PARA VASO SANITÁRIO 3/6L</t>
  </si>
  <si>
    <t xml:space="preserve">14.5</t>
  </si>
  <si>
    <t xml:space="preserve">VASO SANITARIO SIFONADO CONVENCIONAL PARA PCD SEM FURO FRONTAL COM LOUÇA BRANCA SEM ASSENTO, INCLUSO CONJUNTO DE LIGAÇÃO PARA BACIA SANITÁRI A AJUSTÁVEL - FORNECIMENTO E INSTALAÇÃO</t>
  </si>
  <si>
    <t xml:space="preserve">14.6</t>
  </si>
  <si>
    <t xml:space="preserve">ASSENTO SANITÁRIO CONVENCIONAL - FORNECIMENTO E INSTALACAO</t>
  </si>
  <si>
    <t xml:space="preserve">14.7</t>
  </si>
  <si>
    <t xml:space="preserve">PAPELEIRA DE PAREDE EM METAL CROMADO SEM TAMPA, INCLUSO FIXAÇÃO</t>
  </si>
  <si>
    <t xml:space="preserve">14.8</t>
  </si>
  <si>
    <t xml:space="preserve">SABONETEIRA PLASTICA TIPO DISPENSER PARA SABONETE LIQUIDO COM RESERVATORIO 800 A 1500 ML, INCLUSO FIXAÇÃO.</t>
  </si>
  <si>
    <t xml:space="preserve">I 37400</t>
  </si>
  <si>
    <t xml:space="preserve">14.9</t>
  </si>
  <si>
    <t xml:space="preserve">PAPELEIRA PLASTICA TIPO DISPENSER PARA PAPEL HIGIENICO ROLAO</t>
  </si>
  <si>
    <t xml:space="preserve">14.10</t>
  </si>
  <si>
    <t xml:space="preserve">BARRA DE APOIO RETA, EM ACO INOX POLIDO, COMPRIMENTO 80 CM, FIXADA NA PAREDE - FORNECIMENTO E INSTALAÇÃO.</t>
  </si>
  <si>
    <t xml:space="preserve">14.11</t>
  </si>
  <si>
    <t xml:space="preserve">LAVATÓRIO LOUÇA BRANCA SUSPENSO, 29,5 X 39CM OU EQUIVALENTE, PADRÃO POPULAR, INCLUSO SIFÃO FLEXÍVEL EM PVC, VÁLVULA E ENGATE FLEXÍVEL 30CM E M PLÁSTICO E TORNEIRA CROMADA DE MESA, PADRÃO POPULAR - FORNECIMENTO E INSTALAÇÃO</t>
  </si>
  <si>
    <t xml:space="preserve">I 11795</t>
  </si>
  <si>
    <t xml:space="preserve">14.12</t>
  </si>
  <si>
    <t xml:space="preserve">GRANITO PARA BANCADA, POLIDO, TIPO ANDORINHA/ QUARTZ/ CASTELO/ CORUMBA OU OUTROS EQUIVALENTES DA REGIAO, E= *2,5* CM</t>
  </si>
  <si>
    <t xml:space="preserve">14.13</t>
  </si>
  <si>
    <t xml:space="preserve">CUBA DE EMBUTIR OVAL EM LOUÇA BRANCA, 35 X 50CM OU EQUIVALENTE, INCLUSO VÁLVULA EM METAL CROMADO E SIFÃO FLEXÍVEL EM PVC - FORNECIMENTO E IN STALAÇÃO</t>
  </si>
  <si>
    <t xml:space="preserve">14.14</t>
  </si>
  <si>
    <t xml:space="preserve">14.15</t>
  </si>
  <si>
    <t xml:space="preserve">TORNEIRA CROMADA DE MESA, 1/2 OU 3/4, PARA LAVATÓRIO, PADRÃO MÉDIO - FORNECIMENTO E INSTALAÇÃO.</t>
  </si>
  <si>
    <t xml:space="preserve">I 37591</t>
  </si>
  <si>
    <t xml:space="preserve">14.16</t>
  </si>
  <si>
    <t xml:space="preserve">SUPORTE MAO-FRANCESA EM ACO, ABAS IGUAIS 40 CM, CAPACIDADE MINIMA 70 KG BRANCO</t>
  </si>
  <si>
    <t xml:space="preserve">I 38633</t>
  </si>
  <si>
    <t xml:space="preserve">14.17</t>
  </si>
  <si>
    <t xml:space="preserve">FURO PARA TORNEIRA OU OUTROS ACESSORIOS EM BANCADA DE MARMORE/ GRANITO OU OUTRO TIPO DE PEDRA NATURAL</t>
  </si>
  <si>
    <t xml:space="preserve">15.0 INSTALAÇÕES HIDROSSANITÁRIAS</t>
  </si>
  <si>
    <t xml:space="preserve">15.1</t>
  </si>
  <si>
    <t xml:space="preserve">(COMPOSIÇÃO REPRESENTATIVA) DO SERVIÇO DE INSTALAÇÃO DE TUBO DE PVC, SÉRIE NORMAL, ESGOTO PREDIAL, DN 50 MM (INSTALADO EM RAMAL DE DESCARGA OU RAMAL DE ESGOTO SANITÁRIO), INCLUSIVE CONEXÕES, CORTES E FIXAÇÕES</t>
  </si>
  <si>
    <t xml:space="preserve">15.2</t>
  </si>
  <si>
    <t xml:space="preserve">(COMPOSIÇÃO REPRESENTATIVA) DO SERVIÇO DE INST. TUBO PVC, SÉRIE N, ESGOTO PREDIAL, 100 MM (INST. RAMAL DESCARGA, RAMAL DE ESG. SANIT., PRUMA DA ESG. SANIT., VENTILAÇÃO OU SUB-COLETOR AÉREO), INCL. CONEXÕES E COR TES, FIXAÇÕES,</t>
  </si>
  <si>
    <t xml:space="preserve">15.3</t>
  </si>
  <si>
    <t xml:space="preserve">CAIXA SIFONADA, PVC, DN 100 X 100 X 50 MM, JUNTA ELÁSTICA, FORNECIDA E INSTALADA EM RAMAL DE DESCARGA OU EM RAMAL DE ESGOTO SANITÁRIO</t>
  </si>
  <si>
    <t xml:space="preserve">15.4</t>
  </si>
  <si>
    <t xml:space="preserve">ESCAVAÇÃO MANUAL DE VALA COM PROFUNDIDADE MENOR OU IGUAL A 1,30 M</t>
  </si>
  <si>
    <t xml:space="preserve">15.5</t>
  </si>
  <si>
    <t xml:space="preserve">CAIXA ENTERRADA HIDRÁULICA RETANGULAR EM ALVENARIA COM TIJOLOS CERÂMICOS MACIÇOS, DIMENSÕES INTERNAS: 0,3X0,3X0,3 M PARA REDE DE ESGOTO.</t>
  </si>
  <si>
    <t xml:space="preserve">15.6</t>
  </si>
  <si>
    <t xml:space="preserve">CAIXA ENTERRADA HIDRÁULICA RETANGULAR EM ALVENARIA COM TIJOLOS CERÂMICOS MACIÇOS, DIMENSÕES INTERNAS: 0,4X0,4X0,4 M PARA REDE DE ESGOTO.</t>
  </si>
  <si>
    <t xml:space="preserve">15.7</t>
  </si>
  <si>
    <t xml:space="preserve">TANQUE SÉPTICO CIRCULAR, EM CONCRETO PRÉ-MOLDADO, DIÂMETRO INTERNO = 1,40 M, ALTURA INTERNA = 2,50 M, VOLUME ÚTIL: 3463,6 L</t>
  </si>
  <si>
    <t xml:space="preserve">15.8</t>
  </si>
  <si>
    <t xml:space="preserve">FILTRO ANAERÓBIO CIRCULAR, EM CONCRETO PRÉ-MOLDADO, DIÂMETRO INTERNO =1,10 M, ALTURA INTERNA = 1,50 M, VOLUME ÚTIL: 1140,4 L</t>
  </si>
  <si>
    <t xml:space="preserve">15.9</t>
  </si>
  <si>
    <t xml:space="preserve">SUMIDOURO RETANGULAR, EM ALVENARIA COM TIJOLOS CERÂMICOS MACIÇOS, DIMENSÕES INTERNAS: 1,6 X 3,4 X 3,0 M, ÁREA DE INFILTRAÇÃO: 32,9 M²</t>
  </si>
  <si>
    <t xml:space="preserve">15.10</t>
  </si>
  <si>
    <t xml:space="preserve">15.11</t>
  </si>
  <si>
    <t xml:space="preserve">CAIXA D´ÁGUA EM POLIÉSTER REFORÇADO COM FIBRA DE VIDRO, 1000 LITROS - FORNECIMENTO E INSTALAÇÃO</t>
  </si>
  <si>
    <t xml:space="preserve">15.12</t>
  </si>
  <si>
    <t xml:space="preserve">KIT CONEXÕES ACESSÓRIOS P/ INSTALAÇÃO CAIXA D'ÁGUA</t>
  </si>
  <si>
    <t xml:space="preserve">15.13</t>
  </si>
  <si>
    <t xml:space="preserve">RASGO EM ALVENARIA PARA RAMAIS/ DISTRIBUIÇÃO COM DIAMETROS MENORES OU IGUAIS A 40 MM.</t>
  </si>
  <si>
    <t xml:space="preserve">15.14</t>
  </si>
  <si>
    <t xml:space="preserve">(COMPOSIÇÃO REPRESENTATIVA) DO SERVIÇO DE INSTALAÇÃO TUBOS DE PVC, SOLDÁVEL, ÁGUA FRIA, DN 32 MM (INSTALADO EM RAMAL, SUB-RAMAL, RAMAL DE DISTRIBUIÇÃO OU PRUMADA), INCLUSIVE CONEXÕES, CORTES E FIXAÇÕES (EXTRAVASOR E LIMPEZA)</t>
  </si>
  <si>
    <t xml:space="preserve">15.15</t>
  </si>
  <si>
    <t xml:space="preserve">(COMPOSIÇÃO REPRESENTATIVA) DO SERVIÇO DE INSTALAÇÃO DE TUBOS DE PVC, SOLDÁVEL, ÁGUA FRIA, DN 25 MM (INSTALADO EM RAMAL, SUB-RAMAL, RAMAL DE DISTRIBUIÇÃO OU PRUMADA), INCLUSIVE CONEXÕES, CORTES E FIXAÇÕES,</t>
  </si>
  <si>
    <t xml:space="preserve">16.0 INSTALAÇÕES ELÉTRICAS</t>
  </si>
  <si>
    <t xml:space="preserve">16.1</t>
  </si>
  <si>
    <t xml:space="preserve">CAIXA OCTOGONAL 3" X 3", PVC, INSTALADA EM LAJE - FORNECIMENTO E INSTALAÇÃO</t>
  </si>
  <si>
    <t xml:space="preserve">unid</t>
  </si>
  <si>
    <t xml:space="preserve">16.2</t>
  </si>
  <si>
    <t xml:space="preserve">CAIXA DE INSPEÇÃO PARA ATERRAMENTO, CIRCULAR, EM POLIETILENO, DIÂMETRO 300 mm</t>
  </si>
  <si>
    <t xml:space="preserve">101881</t>
  </si>
  <si>
    <t xml:space="preserve">16.3</t>
  </si>
  <si>
    <t xml:space="preserve">QUADRO DE DISTRIBUIÇÃO DE ENERGIA EM CHAPA DE AÇO GALVANIZADO, DE EMBUTIR COM BARRAMENTO TRIFÁSICO, PARA 40 DISJUNTORES DIN 100A - FORNECIMENTO E INSTALAÇÃO.</t>
  </si>
  <si>
    <t xml:space="preserve">91941</t>
  </si>
  <si>
    <t xml:space="preserve">16.4</t>
  </si>
  <si>
    <t xml:space="preserve">CAIXA RETANGULAR 4" X 2" BAIXA (0,30 M DO PISO), PVC, INSTALADA EM PAREDE - FORNECIMENTO E INSTALAÇÃO</t>
  </si>
  <si>
    <t xml:space="preserve">91940</t>
  </si>
  <si>
    <t xml:space="preserve">16.5</t>
  </si>
  <si>
    <t xml:space="preserve">CAIXA RETANGULAR 4" X 2" MEDIA (1,30 M DO PISO), PVC, INSTALADA EM PAREDE - FORNECIMENTO E INSTALAÇÃO</t>
  </si>
  <si>
    <t xml:space="preserve">91939</t>
  </si>
  <si>
    <t xml:space="preserve">16.6</t>
  </si>
  <si>
    <t xml:space="preserve">CAIXA RETANGULAR 4" X 2" ALTA (2,00 M DO PISO), PVC, INSTALADA EM PAREDE - FORNECIMENTO E INSTALAÇÃO</t>
  </si>
  <si>
    <t xml:space="preserve">93054</t>
  </si>
  <si>
    <t xml:space="preserve">16.7</t>
  </si>
  <si>
    <t xml:space="preserve">CONECTOR EM BRONZE/LATÃO, DN 22 MM X 3/4” SEM ANEL DE SOLDA X ROSCA F, INSTALADO EM PRUMADA FORNECIMENTO E INSTALAÇAO (P/ATERRAMENTO TERRA)</t>
  </si>
  <si>
    <t xml:space="preserve">93655</t>
  </si>
  <si>
    <t xml:space="preserve">16.8</t>
  </si>
  <si>
    <t xml:space="preserve">DISJUNTOR MONOPOLAR TIPO DIN/IEC.  20 A - FORNECIMENTO E INSTALAÇÃO</t>
  </si>
  <si>
    <t xml:space="preserve">93653</t>
  </si>
  <si>
    <t xml:space="preserve">16.9</t>
  </si>
  <si>
    <t xml:space="preserve">DISJUNTOR MONOPOLAR TIPO DIN/IEC.  10 A - FORNECIMENTO E INSTALAÇÃO</t>
  </si>
  <si>
    <t xml:space="preserve">93657</t>
  </si>
  <si>
    <t xml:space="preserve">16.10</t>
  </si>
  <si>
    <t xml:space="preserve">DISJUNTOR MONOPOLAR TIPO DIN/IEC. 32 A - FORNECIMENTO E INSTALAÇÃO</t>
  </si>
  <si>
    <t xml:space="preserve">93664</t>
  </si>
  <si>
    <t xml:space="preserve">16.11</t>
  </si>
  <si>
    <t xml:space="preserve">DISJUNTOR BIPOLAR (DISJUNTOR RESIDUAL MONOF.) TIPO DIN, CORRENTE NOMINAL DE 32A - FORNECIMENTO E INSTALAÇÃO</t>
  </si>
  <si>
    <t xml:space="preserve">91842</t>
  </si>
  <si>
    <t xml:space="preserve">16.12</t>
  </si>
  <si>
    <t xml:space="preserve">ELETRODUTO FLEXÍVEL CORRUGADO, PVC, DN 20 MM (1/2"), PARA CIRCUITOS TERMINAIS, INSTALADO EM LAJE - FORNECIMENTO E INSTALAÇÃO</t>
  </si>
  <si>
    <t xml:space="preserve">91844</t>
  </si>
  <si>
    <t xml:space="preserve">16.13</t>
  </si>
  <si>
    <t xml:space="preserve">ELETRODUTO FLEXÍVEL CORRUGADO, PVC, DN 25 MM (3/4"), PARA CIRCUITOS TERMINAIS, INSTALADO EM LAJE - FORNECIMENTO E INSTALAÇÃO</t>
  </si>
  <si>
    <t xml:space="preserve">91852</t>
  </si>
  <si>
    <t xml:space="preserve">16.14</t>
  </si>
  <si>
    <t xml:space="preserve">ELETRODUTO FLEXÍVEL CORRUGADO, PVC, DN 20 MM (1/2"), PARA CIRCUITOS TERMINAIS, INSTALADO EM PAREDE - FORNECIMENTO E INSTALAÇÃO</t>
  </si>
  <si>
    <t xml:space="preserve">91850</t>
  </si>
  <si>
    <t xml:space="preserve">16.15</t>
  </si>
  <si>
    <t xml:space="preserve">ELETRODUTO FLEXÍVEL CORRUGADO, PEAD, DN 40 MM (1 1/4"), PARA CIRCUITOS TERMINAIS  - FORNECIMENTO E INSTALAÇÃO</t>
  </si>
  <si>
    <t xml:space="preserve">90447</t>
  </si>
  <si>
    <t xml:space="preserve">16.16</t>
  </si>
  <si>
    <t xml:space="preserve">RASGO EM ALVENARIA PARA ELETRODUTOS COM DIAMETROS MENORES OU IGUAIS A 40 MM</t>
  </si>
  <si>
    <t xml:space="preserve">90456</t>
  </si>
  <si>
    <t xml:space="preserve">16.17</t>
  </si>
  <si>
    <t xml:space="preserve">QUEBRA EM ALVENARIA PARA INSTALAÇÃO DE CAIXA DE TOMADA (4X4 OU 4X2).</t>
  </si>
  <si>
    <t xml:space="preserve">91926</t>
  </si>
  <si>
    <t xml:space="preserve">16.18</t>
  </si>
  <si>
    <t xml:space="preserve">CABO DE COBRE FLEXÍVEL ISOLADO, 2,5 MM², ANTI-CHAMA 450/750 V, PARA CIRCUITOS TERMINAIS (cores preta, azul e verde) - FORNECIMENTO E INSTALAÇÃO</t>
  </si>
  <si>
    <t xml:space="preserve">91925</t>
  </si>
  <si>
    <t xml:space="preserve">16.19</t>
  </si>
  <si>
    <t xml:space="preserve">CABO DE COBRE FLEXÍVEL ISOLADO, 1,5 MM², ANTI-CHAMA 450/750 V, PARA CIRCUITOS TERMINAIS (cores preta, branco, azul e verde) - FORNECIMENTO E INSTALAÇÃO</t>
  </si>
  <si>
    <t xml:space="preserve">92981</t>
  </si>
  <si>
    <t xml:space="preserve">16.20</t>
  </si>
  <si>
    <t xml:space="preserve">CABO DE COBRE FLEXÍVEL ISOLADO PP, 16 MM², ANTI-CHAMA 450/750 V, PARA DISTRIBUIÇÃO - FORNECIMENTO E INSTALAÇÃO</t>
  </si>
  <si>
    <t xml:space="preserve">96985</t>
  </si>
  <si>
    <t xml:space="preserve">16.21</t>
  </si>
  <si>
    <t xml:space="preserve">HASTE DE ATERRAMENTO 5/8 - FORNECIMENTO E INSTALAÇÃO.</t>
  </si>
  <si>
    <t xml:space="preserve">91952</t>
  </si>
  <si>
    <t xml:space="preserve">16.22</t>
  </si>
  <si>
    <t xml:space="preserve">INTERRUPTOR SIMPLES (1 MÓDULO), 10A/250V, INCLUINDO SUPORTE E PLACA - FORNECIMENTO E INSTALAÇÃO.</t>
  </si>
  <si>
    <t xml:space="preserve">91959</t>
  </si>
  <si>
    <t xml:space="preserve">16.23</t>
  </si>
  <si>
    <t xml:space="preserve">INTERRUPTOR SIMPLES (2 MÓDULOS), 10A/250V, INCLUINDO SUPORTE E PLACA- FORNECIMENTO E INSTALAÇÃO</t>
  </si>
  <si>
    <t xml:space="preserve">91967</t>
  </si>
  <si>
    <t xml:space="preserve">16.24</t>
  </si>
  <si>
    <t xml:space="preserve">INTERRUPTOR SIMPLES (3 MÓDULOS), 10A/250V, INCLUINDO SUPORTE E PLACA - FORNECIMENTO E INSTALAÇÃO.</t>
  </si>
  <si>
    <t xml:space="preserve">92001</t>
  </si>
  <si>
    <t xml:space="preserve">16.25</t>
  </si>
  <si>
    <t xml:space="preserve">TOMADA BAIXA DE EMBUTIR (1 MÓDULO), 2P+T    20 A/250V, INCLUINDO SUPORTE E PLACA - FORNECIMENTO E INSTALAÇÃO.</t>
  </si>
  <si>
    <t xml:space="preserve">91997</t>
  </si>
  <si>
    <t xml:space="preserve">16.26</t>
  </si>
  <si>
    <t xml:space="preserve">TOMADA MÉDIA DE EMBUTIR (1 MÓDULO), 2P+T    20 A/250V, INCLUINDO SUPORTE E PLACA - FORNECIMENTO E INSTALAÇÃO.</t>
  </si>
  <si>
    <t xml:space="preserve">91993</t>
  </si>
  <si>
    <t xml:space="preserve">16.27</t>
  </si>
  <si>
    <t xml:space="preserve">TOMADA ALTA DE EMBUTIR (1 MÓDULO), 2P+T    20 A/250V, INCLUINDO SUPORTE E PLACA - FORNECIMENTO E INSTALAÇÃO.</t>
  </si>
  <si>
    <t xml:space="preserve">16.28</t>
  </si>
  <si>
    <t xml:space="preserve">LUMINÁRIA TIPO PAINEL LED, DE SOBREPOR  18 W/220 V, 5000 K- FORNECIMENTO E INSTALAÇÃO</t>
  </si>
  <si>
    <t xml:space="preserve">100902</t>
  </si>
  <si>
    <t xml:space="preserve">16.29</t>
  </si>
  <si>
    <t xml:space="preserve">LÂMPADA BULBO LED DE 9/10 W, BASE G13 - FORNECIMENTO E INSTALAÇÃO. </t>
  </si>
  <si>
    <t xml:space="preserve">16.30</t>
  </si>
  <si>
    <t xml:space="preserve">EXAUSTOR AR COM MOTOR ELÉTRICO MONOFÁSICO, POTÊNCIA 1/3 HP/220 V 30 CM</t>
  </si>
  <si>
    <t xml:space="preserve">unid.</t>
  </si>
  <si>
    <t xml:space="preserve">16.31</t>
  </si>
  <si>
    <t xml:space="preserve">ENTRADA DE ENERGIA ELÉTRICA, AÉREA, TRIFÁSICA, COM CAIXA DE SOBREPOR, CABO DE 16 MM2 E DISJUNTOR DIN 63A (NÃO INCLUSO O POSTE DE CONCRETO) – PADRÃO RGE CATEGORIA C8</t>
  </si>
  <si>
    <t xml:space="preserve">17.0 CENTRAL DE GÁS</t>
  </si>
  <si>
    <t xml:space="preserve">17.1</t>
  </si>
  <si>
    <t xml:space="preserve">17.2</t>
  </si>
  <si>
    <t xml:space="preserve">17.3</t>
  </si>
  <si>
    <t xml:space="preserve">17.4</t>
  </si>
  <si>
    <t xml:space="preserve">17.5</t>
  </si>
  <si>
    <t xml:space="preserve">17.6</t>
  </si>
  <si>
    <t xml:space="preserve">17.7</t>
  </si>
  <si>
    <t xml:space="preserve">CINTA DE AMARRAÇÃO DE ALVENARIA MOLDADA IN LOCO EM CONCRETO</t>
  </si>
  <si>
    <t xml:space="preserve">17.8</t>
  </si>
  <si>
    <t xml:space="preserve">17.9</t>
  </si>
  <si>
    <t xml:space="preserve">17.10</t>
  </si>
  <si>
    <t xml:space="preserve">17.11</t>
  </si>
  <si>
    <t xml:space="preserve">CONTRAPISO EM ARGAMASSA TRAÇO 1:4 (CIMENTO E AREIA), PREPARO MECÂNICO COM BETONEIRA 400 L, APLICADO EM ÁREAS SECAS SOBRE LAJE, NÃO ADERIDO, ESPESSURA 5CM.</t>
  </si>
  <si>
    <t xml:space="preserve">17.12</t>
  </si>
  <si>
    <t xml:space="preserve">PERFIL "U" EM CHAPA ACO DOBRADA, E = 3,04 MM, H = 20 CM, ABAS = 5 CM (4,47 KG/M)</t>
  </si>
  <si>
    <t xml:space="preserve">17.13</t>
  </si>
  <si>
    <t xml:space="preserve">TELA DE ACO SOLDADA NERVURADA, CA-60, Q-196, (3,11 KG/M2), DIAMETRO DO FIO = 5,0 MM LARGURA = 2,45 M, ESPACAMENTO DA MALHA = 10 X 10 CM</t>
  </si>
  <si>
    <t xml:space="preserve">17.14</t>
  </si>
  <si>
    <t xml:space="preserve">FECHADURA BICO DE PAPAGAIO PARA PORTA EXTERNA, EM ACO INOX COM ACABAMENTO CROMADO</t>
  </si>
  <si>
    <t xml:space="preserve">cj</t>
  </si>
  <si>
    <t xml:space="preserve">17.15</t>
  </si>
  <si>
    <t xml:space="preserve">DOBRADIÇA EM AÇO/FERRO, 3" X 21/2", E=1,9 A 2MM, SEN ANEL, CROMADO OU ZINCADO, TAMPA BOLA, COM PARAFUSOS</t>
  </si>
  <si>
    <t xml:space="preserve">I 39139</t>
  </si>
  <si>
    <t xml:space="preserve">17.16</t>
  </si>
  <si>
    <t xml:space="preserve">ABRACADEIRA EM ACO PARA AMARRACAO DE ELETRODUTOS, TIPO U SIMPLES, COM 1"</t>
  </si>
  <si>
    <t xml:space="preserve">17.17</t>
  </si>
  <si>
    <t xml:space="preserve">VÁLVULA DE RETENÇÃO VERTICAL, DE BRONZE, ROSCÁVEL, 1" - FORNECIMENTO E INSTALAÇÃO</t>
  </si>
  <si>
    <t xml:space="preserve">Pesquisa de Preço</t>
  </si>
  <si>
    <t xml:space="preserve">17.18</t>
  </si>
  <si>
    <r>
      <rPr>
        <sz val="10"/>
        <color rgb="FF000000"/>
        <rFont val="Times New Roman"/>
        <family val="1"/>
        <charset val="1"/>
      </rPr>
      <t xml:space="preserve">REGULADOR DE PRESSÃO 1º ESTÁGIO (BAIXA PRESSÃO, AMARELO, 12 KG, 2,8 KPA)</t>
    </r>
    <r>
      <rPr>
        <b val="true"/>
        <sz val="10"/>
        <color rgb="FF000000"/>
        <rFont val="Times New Roman"/>
        <family val="1"/>
        <charset val="1"/>
      </rPr>
      <t xml:space="preserve"> </t>
    </r>
  </si>
  <si>
    <t xml:space="preserve">17.19</t>
  </si>
  <si>
    <t xml:space="preserve">MANÔMETRO (0 A 300 PSI, 0 A 21KGF/CM2)</t>
  </si>
  <si>
    <t xml:space="preserve">17.20</t>
  </si>
  <si>
    <t xml:space="preserve">TÊ, EM FERRO GALVANIZADO, CONEXÃO ROSQUEADA, DN 25 (1"), INSTALADO EM RAMAIS E SUB-RAMAIS DE GÁS - FORNECIMENTO E INSTALAÇÃO</t>
  </si>
  <si>
    <t xml:space="preserve">17.21</t>
  </si>
  <si>
    <t xml:space="preserve">TÊ, EM FERRO GALVANIZADO, CONEXÃO ROSQUEADA, DN 15 (1/2"), INSTALADO EM RAMAIS E SUB-RAMAIS DE GÁS - FORNECIMENTO E INSTALAÇÃO</t>
  </si>
  <si>
    <t xml:space="preserve">17.22</t>
  </si>
  <si>
    <t xml:space="preserve">TUBO DE AÇO GALVANIZADO SEM COSTURA, CLASSE MÉDIA, CONEXÃO ROSQUEADA, DN 25 (1"), INSTALADO EM RAMAIS E SUB-RAMAIS DE GÁS - FORNECIMENTO E INSTALAÇÃO</t>
  </si>
  <si>
    <t xml:space="preserve">17.23</t>
  </si>
  <si>
    <t xml:space="preserve">FURO EM ALVENARIA PARA DIÂMETROS MENORES OU IGUAIS A 40 MM</t>
  </si>
  <si>
    <t xml:space="preserve">17.24</t>
  </si>
  <si>
    <t xml:space="preserve">PINTURA COM TINTA ALQUÍDICA DE FUNDO (TIPO ZARCÃO) APLICADA A ROLO OU PINCEL SOBRE SUPERFÍCIES METÁLICAS (EXCETO PERFIL) EXECUTADO EM OBRA (POR DEMÃO).</t>
  </si>
  <si>
    <t xml:space="preserve">17.25</t>
  </si>
  <si>
    <t xml:space="preserve">PINTURA COM TINTA ACRÍLICA DE ACABAMENTO APLICADA A ROLO OU PINCEL SOBRE SUPERFÍCIES METÁLICAS (EXCETO PERFIL) EXECUTADO EM OBRA (POR DEMÃO)</t>
  </si>
  <si>
    <t xml:space="preserve">17.26</t>
  </si>
  <si>
    <t xml:space="preserve">NIPLE, EM FERRO GALVANIZADO, CONEXÃO ROSQUEADA, DN 25 (1"), INSTALADO EM RAMAIS E SUB-RAMAIS DE GÁS - FORNECIMENTO E INSTALAÇÃO</t>
  </si>
  <si>
    <t xml:space="preserve">17.27</t>
  </si>
  <si>
    <t xml:space="preserve">NIPLE, EM FERRO GALVANIZADO, CONEXÃO ROSQUEADA, DN 15 (1/2"), INSTALADO EM RAMAIS E SUB-RAMAIS DE GÁS - FORNECIMENTO E INSTALAÇÃO</t>
  </si>
  <si>
    <t xml:space="preserve">17.28</t>
  </si>
  <si>
    <t xml:space="preserve">LUVA COM REDUÇÃO, EM AÇO, CONEXÃO SOLDADA, DN 25 X 20 MM (1" X 1/2"), INSTALADO EM RAMAIS E SUB-RAMAIS DE GÁS - FORNECIMENTO E INSTALAÇÃO</t>
  </si>
  <si>
    <t xml:space="preserve">17.29</t>
  </si>
  <si>
    <t xml:space="preserve">UNIÃO, EM FERRO GALVANIZADO, CONEXÃO ROSQUEADA, DN 25 (1"), INSTALADO EM RAMAIS E SUB-RAMAIS DE GÁS - FORNECIMENTO E INSTALAÇÃO.</t>
  </si>
  <si>
    <t xml:space="preserve">17.30</t>
  </si>
  <si>
    <t xml:space="preserve">JOELHO 90 GRAUS, EM FERRO GALVANIZADO, CONEXÃO ROSQUEADA, DN 25 (1"), INSTALADO EM RAMAIS E SUB-RAMAIS DE GÁS - FORNECIMENTO E INSTALAÇÃO</t>
  </si>
  <si>
    <t xml:space="preserve">I 11756</t>
  </si>
  <si>
    <t xml:space="preserve">17.31</t>
  </si>
  <si>
    <t xml:space="preserve">REGISTRO OU REGULADOR DE GAS COZINHA, VAZAO DE 2 KG/H, 2,8 KPA</t>
  </si>
  <si>
    <t xml:space="preserve">17.32</t>
  </si>
  <si>
    <t xml:space="preserve">MANGUEIRA FLEXÍVEL TOMBACK EM COBRE MACHO E FÊMEA 1,20M</t>
  </si>
  <si>
    <t xml:space="preserve">17.33</t>
  </si>
  <si>
    <t xml:space="preserve">CHICOTE PIG TAIL FLEXÍVEL PARA P45</t>
  </si>
  <si>
    <t xml:space="preserve">I 3143</t>
  </si>
  <si>
    <t xml:space="preserve">17.34</t>
  </si>
  <si>
    <t xml:space="preserve">FITA VEDA ROSCA EM ROLOS DE 18 MM X 25 M (L X C)</t>
  </si>
  <si>
    <t xml:space="preserve">17.35</t>
  </si>
  <si>
    <t xml:space="preserve">ENSAIO DE ESTANQUEIDADE DE ACORDO COM A NBR 13523 COM LAUDO E ART DE RESPONSÁVEL TÉCNICO</t>
  </si>
  <si>
    <t xml:space="preserve">TOTAL FINAL AMPLIAÇÃO</t>
  </si>
  <si>
    <t xml:space="preserve">Código SINAPI 06/2021</t>
  </si>
  <si>
    <t xml:space="preserve">REFORMA</t>
  </si>
  <si>
    <t xml:space="preserve">1.0 CIRCULAÇÃO</t>
  </si>
  <si>
    <t xml:space="preserve">1.1 DEMOLIÇÕES</t>
  </si>
  <si>
    <t xml:space="preserve">1.1.1</t>
  </si>
  <si>
    <t xml:space="preserve">DEMOLIÇÃO DE REVESTIMENTO CERÂMICO, DE FORMA MANUAL, SEM REAPROVEITAMENTO.</t>
  </si>
  <si>
    <t xml:space="preserve">1.1.2</t>
  </si>
  <si>
    <t xml:space="preserve">DEMOLIÇÃO DE ALVENARIA DE BLOCO FURADO, DE FORMA MANUAL, SEM REAPROVEITAMENTO</t>
  </si>
  <si>
    <t xml:space="preserve">1.1.3</t>
  </si>
  <si>
    <t xml:space="preserve">REMOÇÃO DE GRADES METÁLICAS, DE FORMA MANUAL, SEM REAPROVEITAMENTO</t>
  </si>
  <si>
    <t xml:space="preserve">1.2 ESTRUTURAS</t>
  </si>
  <si>
    <t xml:space="preserve">1.2.1</t>
  </si>
  <si>
    <t xml:space="preserve">1.2.2</t>
  </si>
  <si>
    <t xml:space="preserve">1.2.3</t>
  </si>
  <si>
    <t xml:space="preserve">ARMAÇÃO DE SAPATA UTILIZANDO AÇO CA-50 DE 10 MM – MONTAGEM</t>
  </si>
  <si>
    <t xml:space="preserve">1.2.4</t>
  </si>
  <si>
    <t xml:space="preserve">CONCRETAGEM DE BLOCOS DE COROAMENTO E VIGAS BALDRAME, FCK 30 MPA, COM USO DE JERICA LANÇAMENTO, ADENSAMENTO E ACABAMENTO</t>
  </si>
  <si>
    <t xml:space="preserve">1.2.5</t>
  </si>
  <si>
    <t xml:space="preserve">1.2.6</t>
  </si>
  <si>
    <t xml:space="preserve">1.2.7</t>
  </si>
  <si>
    <t xml:space="preserve">1.2.8</t>
  </si>
  <si>
    <t xml:space="preserve">4.2.1</t>
  </si>
  <si>
    <t xml:space="preserve">1.3 PISO</t>
  </si>
  <si>
    <t xml:space="preserve">1.3.1</t>
  </si>
  <si>
    <t xml:space="preserve">1.3.2</t>
  </si>
  <si>
    <t xml:space="preserve">1.3.3</t>
  </si>
  <si>
    <t xml:space="preserve">1.4 ACABAMENTOS</t>
  </si>
  <si>
    <t xml:space="preserve">1.4.1</t>
  </si>
  <si>
    <t xml:space="preserve">1.4.2</t>
  </si>
  <si>
    <t xml:space="preserve">1.4.3</t>
  </si>
  <si>
    <t xml:space="preserve">1.4.4</t>
  </si>
  <si>
    <t xml:space="preserve">PORTA EXTERNA DE VIDRO TEMPERADO, E=10MM, UMA FOLHA, DE ABRIR, COM FERRAGEM COMPOSTA DE DOBRADIÇA SUPERIOR E INFERIOR, COM TRINCO E FECHADURA DO LADO EXTERNO, DE 90X210CM - COMPLETA </t>
  </si>
  <si>
    <t xml:space="preserve">1.4.5</t>
  </si>
  <si>
    <t xml:space="preserve">1.4.7</t>
  </si>
  <si>
    <t xml:space="preserve">1.4.8</t>
  </si>
  <si>
    <t xml:space="preserve">1.4.9</t>
  </si>
  <si>
    <t xml:space="preserve">LIMPEZA COM PANO ÚMIDO (PAREDES E TETO)</t>
  </si>
  <si>
    <t xml:space="preserve">1.4.11</t>
  </si>
  <si>
    <t xml:space="preserve">LIXAMENTO PARA APLICAÇÃO DE FUNDO OU PINTURA (PAREDES E TETO)</t>
  </si>
  <si>
    <t xml:space="preserve">1.4.12</t>
  </si>
  <si>
    <t xml:space="preserve">1.4.13</t>
  </si>
  <si>
    <t xml:space="preserve">1.4.14</t>
  </si>
  <si>
    <t xml:space="preserve">1.4.15</t>
  </si>
  <si>
    <t xml:space="preserve">1.4.16</t>
  </si>
  <si>
    <t xml:space="preserve">2.0 SALAS DE AULA</t>
  </si>
  <si>
    <t xml:space="preserve">2.1 DEMOLIÇÕES</t>
  </si>
  <si>
    <t xml:space="preserve">2.1.1</t>
  </si>
  <si>
    <t xml:space="preserve">REMOÇÃO DE JANELAS, DE FORMA MANUAL, SEM REAPROVEITAMENTO.</t>
  </si>
  <si>
    <t xml:space="preserve">2.1.2</t>
  </si>
  <si>
    <t xml:space="preserve">REMOÇÃO DE PORTAS, DE FORMA MANUAL, SEM REAPROVEITAMENTO</t>
  </si>
  <si>
    <t xml:space="preserve">2.2 ACABAMENTOS</t>
  </si>
  <si>
    <t xml:space="preserve">2.2.1</t>
  </si>
  <si>
    <t xml:space="preserve">2.2.2</t>
  </si>
  <si>
    <t xml:space="preserve">2.2.3</t>
  </si>
  <si>
    <t xml:space="preserve">2.2.4</t>
  </si>
  <si>
    <t xml:space="preserve">KIT DE PORTA-PRONTA DE MADEIRA EM ACABAMENTO MELAMÍNICO BRANCO, FOLHA PESADA OU SUPERPESADA, 80X210CM, FIXAÇÃO COM PREENCHIMENTO PARCIAL DE ESPUMA EXPANSIVA - FORNECIMENTO E INSTALAÇÃO</t>
  </si>
  <si>
    <t xml:space="preserve">2.2.5</t>
  </si>
  <si>
    <t xml:space="preserve">GRADIL EM ALUMÍNIO FIXADO EM VÃOS DE JANELAS, FORMADO POR TUBOS DE ¾"</t>
  </si>
  <si>
    <t xml:space="preserve">2.2.6</t>
  </si>
  <si>
    <t xml:space="preserve">LIMPEZA COM PANO ÚMIDO (PAREDE E TETO)</t>
  </si>
  <si>
    <t xml:space="preserve">2.2.7</t>
  </si>
  <si>
    <t xml:space="preserve">2.2.8</t>
  </si>
  <si>
    <t xml:space="preserve">2.2.9</t>
  </si>
  <si>
    <t xml:space="preserve">2.2.10</t>
  </si>
  <si>
    <t xml:space="preserve">2.2.11</t>
  </si>
  <si>
    <t xml:space="preserve">2.2.12</t>
  </si>
  <si>
    <t xml:space="preserve">2.2.13</t>
  </si>
  <si>
    <t xml:space="preserve">LIXAMENTO PARA APLICAÇÃO DE FUNDO OU PINTURA. (PISO)</t>
  </si>
  <si>
    <t xml:space="preserve">2.2.14</t>
  </si>
  <si>
    <t xml:space="preserve">PINTURA VERNIZ (INCOLOR) ALQUÍDICO EM MADEIRA, USO INTERNO, 2 DEMÃOS. (PISO)</t>
  </si>
  <si>
    <t xml:space="preserve">2.2.15</t>
  </si>
  <si>
    <t xml:space="preserve">PINTURA FUNDO NIVELADOR ALQUÍDICO BRANCO EM MADEIRA (PORTAS)</t>
  </si>
  <si>
    <t xml:space="preserve">2.2.16</t>
  </si>
  <si>
    <t xml:space="preserve">PINTURA TINTA DE ACABAMENTO (PIGMENTADA) ESMALTE SINTÉTICO FOSCO EM MADEIRA, 2 DEMÃOS. (PORTAS)</t>
  </si>
  <si>
    <t xml:space="preserve">3.0 REFEITÓRIO</t>
  </si>
  <si>
    <t xml:space="preserve">3.1 DEMOLIÇÕES</t>
  </si>
  <si>
    <t xml:space="preserve">3.1.1</t>
  </si>
  <si>
    <t xml:space="preserve">REMOÇÃO DE PISO DE MADEIRA (ASSOALHO E BARROTE), DE FORMA MANUAL, SEM REAPROVEITAMENTO</t>
  </si>
  <si>
    <t xml:space="preserve">3.1.2</t>
  </si>
  <si>
    <t xml:space="preserve">3.1.3</t>
  </si>
  <si>
    <t xml:space="preserve">3.1.4</t>
  </si>
  <si>
    <t xml:space="preserve">3.1.5</t>
  </si>
  <si>
    <t xml:space="preserve">REMOÇÃO DE JANELAS, DE FORMA MANUAL, SEM REAPROVEITAMENTO</t>
  </si>
  <si>
    <t xml:space="preserve">3.2 ESTRUTURAS</t>
  </si>
  <si>
    <t xml:space="preserve">3.2.1</t>
  </si>
  <si>
    <t xml:space="preserve">3.2.2</t>
  </si>
  <si>
    <t xml:space="preserve">3.2.3</t>
  </si>
  <si>
    <t xml:space="preserve">3.2.4</t>
  </si>
  <si>
    <t xml:space="preserve">3.2.5</t>
  </si>
  <si>
    <t xml:space="preserve">3.2.6</t>
  </si>
  <si>
    <t xml:space="preserve">3.2.7</t>
  </si>
  <si>
    <t xml:space="preserve">3.2.8</t>
  </si>
  <si>
    <t xml:space="preserve">3.2.9</t>
  </si>
  <si>
    <t xml:space="preserve">3.3 ACABAMENTOS</t>
  </si>
  <si>
    <t xml:space="preserve">3.3.1</t>
  </si>
  <si>
    <t xml:space="preserve">3.3.2</t>
  </si>
  <si>
    <t xml:space="preserve">3.3.3</t>
  </si>
  <si>
    <t xml:space="preserve">3.3.4</t>
  </si>
  <si>
    <t xml:space="preserve">APLICAÇÃO E LIXAMENTO DE MASSA LÁTEX EM PAREDES, UMA DEMÃO</t>
  </si>
  <si>
    <t xml:space="preserve">3.3.5</t>
  </si>
  <si>
    <t xml:space="preserve">3.3.6</t>
  </si>
  <si>
    <t xml:space="preserve">3.3.7</t>
  </si>
  <si>
    <t xml:space="preserve">3.3.8</t>
  </si>
  <si>
    <t xml:space="preserve">3.3.9</t>
  </si>
  <si>
    <t xml:space="preserve">3.3.10</t>
  </si>
  <si>
    <t xml:space="preserve">3.3.11</t>
  </si>
  <si>
    <t xml:space="preserve">3.3.12</t>
  </si>
  <si>
    <t xml:space="preserve">JANELA DE ALUMÍNIO DE CORRER COM 2 FOLHAS PARA VIDROS, COM VIDROS, BATENTE, ACABAMENTO COM ACETATO OU BRILHANTE E FERRAGENS. EXCLUSIVE ALIZA R E CONTRAMARCO. FORNECIMENTO E INSTALAÇÃO</t>
  </si>
  <si>
    <t xml:space="preserve">3.3.13</t>
  </si>
  <si>
    <t xml:space="preserve">3.3.14</t>
  </si>
  <si>
    <t xml:space="preserve">3.3.15</t>
  </si>
  <si>
    <t xml:space="preserve">3.3.16</t>
  </si>
  <si>
    <t xml:space="preserve">3.3.17</t>
  </si>
  <si>
    <t xml:space="preserve">3.3.18</t>
  </si>
  <si>
    <t xml:space="preserve">3.3.19</t>
  </si>
  <si>
    <t xml:space="preserve">3.3.20</t>
  </si>
  <si>
    <t xml:space="preserve">3.4 ESTRUTURAS DECORATIVAS</t>
  </si>
  <si>
    <t xml:space="preserve">3.4.1 MOLDURAS</t>
  </si>
  <si>
    <t xml:space="preserve">3.4.1.1</t>
  </si>
  <si>
    <t xml:space="preserve">3.4.1.2</t>
  </si>
  <si>
    <t xml:space="preserve">3.4.1.3</t>
  </si>
  <si>
    <t xml:space="preserve">3.4.1.4</t>
  </si>
  <si>
    <t xml:space="preserve">3.4.2 VIGA AÉREA</t>
  </si>
  <si>
    <t xml:space="preserve">3.4.2.1</t>
  </si>
  <si>
    <t xml:space="preserve">3.4.2.2</t>
  </si>
  <si>
    <t xml:space="preserve">3.4.2.3</t>
  </si>
  <si>
    <t xml:space="preserve">3.4.2.4</t>
  </si>
  <si>
    <t xml:space="preserve">4.0 COZINHA</t>
  </si>
  <si>
    <t xml:space="preserve">4.1 DEMOLIÇÕES</t>
  </si>
  <si>
    <t xml:space="preserve">4.1.1</t>
  </si>
  <si>
    <t xml:space="preserve">4.1.2</t>
  </si>
  <si>
    <t xml:space="preserve">4.1.3</t>
  </si>
  <si>
    <t xml:space="preserve">4.1.4</t>
  </si>
  <si>
    <t xml:space="preserve">REMOÇÃO DE LOUÇAS, DE FORMA MANUAL, SEM REAPROVEITAMENTO</t>
  </si>
  <si>
    <t xml:space="preserve">4.1.5</t>
  </si>
  <si>
    <t xml:space="preserve">DEMOLIÇÃO DE LAJES, DE FORMA MANUAL, SEM REAPROVEITAMENTO.</t>
  </si>
  <si>
    <t xml:space="preserve">4.2 ESTRUTURAS</t>
  </si>
  <si>
    <t xml:space="preserve">4.3 ACABAMENTOS</t>
  </si>
  <si>
    <t xml:space="preserve">4.3.1</t>
  </si>
  <si>
    <t xml:space="preserve">4.3.2</t>
  </si>
  <si>
    <t xml:space="preserve">4.3.3</t>
  </si>
  <si>
    <t xml:space="preserve">4.3.4</t>
  </si>
  <si>
    <t xml:space="preserve">4.3.5</t>
  </si>
  <si>
    <t xml:space="preserve">4.3.6</t>
  </si>
  <si>
    <t xml:space="preserve">4.3.7</t>
  </si>
  <si>
    <t xml:space="preserve">4.3.8</t>
  </si>
  <si>
    <t xml:space="preserve">4.3.9</t>
  </si>
  <si>
    <t xml:space="preserve">4.3.10</t>
  </si>
  <si>
    <t xml:space="preserve">4.3.11</t>
  </si>
  <si>
    <t xml:space="preserve">4.3.12</t>
  </si>
  <si>
    <t xml:space="preserve">4.3.13</t>
  </si>
  <si>
    <t xml:space="preserve">KIT DE PORTA-PRONTA DE MADEIRA EM ACABAMENTO MELAMÍNICO BRANCO, FOLHA PESADA OU SUPERPESADA, 80X210CM, FIXAÇÃO COM PREENCHIMENTO TOTAL DE ES PUMA EXPANSIVA - FORNECIMENTO E INSTALAÇÃO.</t>
  </si>
  <si>
    <t xml:space="preserve">4.4 MOBILIÁRIO</t>
  </si>
  <si>
    <t xml:space="preserve">4.4.1</t>
  </si>
  <si>
    <t xml:space="preserve">4.4.2</t>
  </si>
  <si>
    <t xml:space="preserve">4.4.3</t>
  </si>
  <si>
    <t xml:space="preserve">4.4.4</t>
  </si>
  <si>
    <t xml:space="preserve">CONCRETAGEM DE PILARES, FCK = 20 MPA, COM USO DE BALDES EM EDIFICAÇÃO COM SEÇÃO MÉDIA DE PILARES MENOR OU IGUAL A 0,25 M² - LANÇAMENTO, ADENS AMENTO E ACABAMENTO</t>
  </si>
  <si>
    <t xml:space="preserve">4.4.5</t>
  </si>
  <si>
    <t xml:space="preserve">FABRICAÇÃO DE FÔRMA PARA LAJES, EM CHAPA DE MADEIRA COMPENSADA PLASTIFICADA, E = 18 MM.</t>
  </si>
  <si>
    <t xml:space="preserve">4.4.6</t>
  </si>
  <si>
    <t xml:space="preserve">ARMAÇÃO DE LAJE DE UMA ESTRUTURA CONVENCIONAL DE CONCRETO ARMADO EM UMA EDIFICAÇÃO TÉRREA OU SOBRADO UTILIZANDO AÇO CA-50 DE 8,0 MM - MONTAG EM.</t>
  </si>
  <si>
    <t xml:space="preserve">4.4.7</t>
  </si>
  <si>
    <t xml:space="preserve">ARMAÇÃO DE LAJE DE UMA ESTRUTURA CONVENCIONAL DE CONCRETO ARMADO EM UMA EDIFICAÇÃO TÉRREA OU SOBRADO UTILIZANDO AÇO CA-60 DE 5,0 MM - MONTAG EM.</t>
  </si>
  <si>
    <t xml:space="preserve">4.4.8</t>
  </si>
  <si>
    <t xml:space="preserve">CONCRETAGEM DE LAJES EM EDIFICAÇÕES UNIFAMILIARES FEITAS COM SISTEMA DE FÔRMAS MANUSEÁVEIS, COM CONCRETO USINADO BOMBEÁVEL FCK 20 MPA - LANÇ AMENTO, ADENSAMENTO E ACABAMENTO.</t>
  </si>
  <si>
    <t xml:space="preserve">4.4.9</t>
  </si>
  <si>
    <t xml:space="preserve">4.4.10</t>
  </si>
  <si>
    <t xml:space="preserve">4.4.11</t>
  </si>
  <si>
    <t xml:space="preserve">4.4.12</t>
  </si>
  <si>
    <t xml:space="preserve">4.4.13</t>
  </si>
  <si>
    <t xml:space="preserve">4.4.14</t>
  </si>
  <si>
    <t xml:space="preserve">4.4.15</t>
  </si>
  <si>
    <t xml:space="preserve">4.4.16</t>
  </si>
  <si>
    <t xml:space="preserve">CUBA DE EMBUTIR RETANGULAR DE AÇO INOXIDÁVEL, 56 X 33 X 12 CM - FORNECIMENTO E INSTALAÇÃO</t>
  </si>
  <si>
    <t xml:space="preserve">4.4.17</t>
  </si>
  <si>
    <t xml:space="preserve">VÁLVULA EM METAL CROMADO TIPO AMERICANA 3.1/2 X 1.1/2 PARA PIA - FORNECIMENTO E INSTALAÇÃO.</t>
  </si>
  <si>
    <t xml:space="preserve">4.4.18</t>
  </si>
  <si>
    <t xml:space="preserve">4.4.19</t>
  </si>
  <si>
    <t xml:space="preserve">TORNEIRA CROMADA TUBO MÓVEL, DE PAREDE, 1/2 OU 3/4, PARA PIA DE COZINHA, PADRÃO MÉDIO - FORNECIMENTO E INSTALAÇÃO.</t>
  </si>
  <si>
    <t xml:space="preserve">I 11777</t>
  </si>
  <si>
    <t xml:space="preserve">4.4.20</t>
  </si>
  <si>
    <t xml:space="preserve">TORNEIRA ELETRICA DE PAREDE, BICA ALTA, PARA COZINHA, 5500 W (110/220 V)</t>
  </si>
  <si>
    <t xml:space="preserve">5.0 LAVANDERIA</t>
  </si>
  <si>
    <t xml:space="preserve">5.1 DEMOLIÇÕES</t>
  </si>
  <si>
    <t xml:space="preserve">5.1.5</t>
  </si>
  <si>
    <t xml:space="preserve">5.2 ESTRUTURAS</t>
  </si>
  <si>
    <t xml:space="preserve">5.3 ACABAMENTOS</t>
  </si>
  <si>
    <t xml:space="preserve">5.3.2</t>
  </si>
  <si>
    <t xml:space="preserve">5.3.3</t>
  </si>
  <si>
    <t xml:space="preserve">5.3.4</t>
  </si>
  <si>
    <t xml:space="preserve">5.3.5</t>
  </si>
  <si>
    <t xml:space="preserve">5.3.6</t>
  </si>
  <si>
    <t xml:space="preserve">5.3.7</t>
  </si>
  <si>
    <t xml:space="preserve">5.3.8</t>
  </si>
  <si>
    <t xml:space="preserve">5.3.9</t>
  </si>
  <si>
    <t xml:space="preserve">5.3.10</t>
  </si>
  <si>
    <t xml:space="preserve">5.3.11</t>
  </si>
  <si>
    <t xml:space="preserve">5.3.12</t>
  </si>
  <si>
    <t xml:space="preserve">5.3.13</t>
  </si>
  <si>
    <t xml:space="preserve">5.3.14</t>
  </si>
  <si>
    <t xml:space="preserve">PORTA DE FERRO, DE ABRIR, TIPO GRADE COM CHAPA, COM GUARNIÇÕES</t>
  </si>
  <si>
    <t xml:space="preserve">6.0 LAVABO FUNCIONÁRIOS</t>
  </si>
  <si>
    <t xml:space="preserve">6.1 DEMOLIÇÕES</t>
  </si>
  <si>
    <t xml:space="preserve">6.1.1</t>
  </si>
  <si>
    <t xml:space="preserve">6.1.2</t>
  </si>
  <si>
    <t xml:space="preserve">RASGO EM CONTRAPISO PARA RAMAIS/ DISTRIBUIÇÃO COM DIÂMETROS MENORES OU IGUAIS A 40 MM</t>
  </si>
  <si>
    <t xml:space="preserve">6.1.3</t>
  </si>
  <si>
    <t xml:space="preserve">RASGO EM CONTRAPISO PARA RAMAIS/ DISTRIBUIÇÃO COM DIÂMETROS MAIORES QUE 75 MM.</t>
  </si>
  <si>
    <t xml:space="preserve">6.1.4</t>
  </si>
  <si>
    <t xml:space="preserve">6.2 ESTRUTURAS </t>
  </si>
  <si>
    <t xml:space="preserve">6.2.1</t>
  </si>
  <si>
    <t xml:space="preserve">6.2.2</t>
  </si>
  <si>
    <t xml:space="preserve">6.2.3</t>
  </si>
  <si>
    <t xml:space="preserve">6.2.4</t>
  </si>
  <si>
    <t xml:space="preserve">6.2.5</t>
  </si>
  <si>
    <t xml:space="preserve">6.2.6</t>
  </si>
  <si>
    <t xml:space="preserve">6.2.7</t>
  </si>
  <si>
    <t xml:space="preserve">6.2.8</t>
  </si>
  <si>
    <t xml:space="preserve">ALVENARIA DE VEDAÇÃO DE BLOCOS CERÂMICOS MACIÇOS DE 5X10X20CM (ESPESSURA 10CM) E ARGAMASSA DE ASSENTAMENTO COM PREPARO EM BETONEIRA</t>
  </si>
  <si>
    <t xml:space="preserve">6.3 HIDROSSANITÁRIO</t>
  </si>
  <si>
    <t xml:space="preserve">6.3.1</t>
  </si>
  <si>
    <t xml:space="preserve">6.3.2</t>
  </si>
  <si>
    <t xml:space="preserve">6.3.3</t>
  </si>
  <si>
    <t xml:space="preserve">6.3.4</t>
  </si>
  <si>
    <t xml:space="preserve">VASO SANITÁRIO SIFONADO COM CAIXA ACOPLADA LOUÇA BRANCA, INCLUSO ENGATE FLEXÍVEL EM PLÁSTICO BRANCO, 1/2 X 40CM - FORNECIMENTO E INSTALAÇÃO</t>
  </si>
  <si>
    <t xml:space="preserve">6.3.5</t>
  </si>
  <si>
    <t xml:space="preserve">LAVATÓRIO LOUÇA BRANCA COM COLUNA, *44 X 35,5* CM, PADRÃO POPULAR, INCLUSO SIFÃO FLEXÍVEL EM PVC, VÁLVULA E ENGATE FLEXÍVEL 30CM EM PLÁSTICO E COM TORNEIRA CROMADA PADRÃO POPULAR - FORNECIMENTO E INSTALAÇÃO</t>
  </si>
  <si>
    <t xml:space="preserve">6.4 ACABAMENTOS</t>
  </si>
  <si>
    <t xml:space="preserve">6.4.1</t>
  </si>
  <si>
    <t xml:space="preserve">6.4.2</t>
  </si>
  <si>
    <t xml:space="preserve">6.4.3</t>
  </si>
  <si>
    <t xml:space="preserve">6.4.4</t>
  </si>
  <si>
    <t xml:space="preserve">6.4.5</t>
  </si>
  <si>
    <t xml:space="preserve">6.4.6</t>
  </si>
  <si>
    <t xml:space="preserve">6.4.7</t>
  </si>
  <si>
    <t xml:space="preserve">6.4.8</t>
  </si>
  <si>
    <t xml:space="preserve">6.4.9</t>
  </si>
  <si>
    <t xml:space="preserve">6.4.10</t>
  </si>
  <si>
    <t xml:space="preserve">7.0 PLATIBANDA</t>
  </si>
  <si>
    <t xml:space="preserve">7.1</t>
  </si>
  <si>
    <t xml:space="preserve">7.2</t>
  </si>
  <si>
    <t xml:space="preserve">7.3</t>
  </si>
  <si>
    <t xml:space="preserve">7.4</t>
  </si>
  <si>
    <t xml:space="preserve">7.5</t>
  </si>
  <si>
    <t xml:space="preserve">7.6</t>
  </si>
  <si>
    <t xml:space="preserve">I 140</t>
  </si>
  <si>
    <t xml:space="preserve">7.7</t>
  </si>
  <si>
    <t xml:space="preserve">7.8</t>
  </si>
  <si>
    <t xml:space="preserve">7.9</t>
  </si>
  <si>
    <t xml:space="preserve">7.10</t>
  </si>
  <si>
    <t xml:space="preserve">8.0 COBERTURA</t>
  </si>
  <si>
    <t xml:space="preserve">REMOÇÃO DE TELHAS, DE FIBROCIMENTO, METÁLICA E CERÂMICA, DE FORMA MANUAL, SEM REAPROVEITAMENTO</t>
  </si>
  <si>
    <t xml:space="preserve">REMOÇÃO DE TRAMA DE MADEIRA PARA COBERTURA, DE FORMA MANUAL, SEM REAPROVEITAMENTO</t>
  </si>
  <si>
    <t xml:space="preserve">REMOÇÃO DE TESOURAS DE MADEIRA, COM VÃO MAIOR OU IGUAL A 8M, DE FORMA MANUAL, SEM REAPROVEITAMENTO</t>
  </si>
  <si>
    <t xml:space="preserve">8.4</t>
  </si>
  <si>
    <t xml:space="preserve">FABRICAÇÃO E INSTALAÇÃO DE TESOURA INTEIRA EM AÇO, VÃO DE 7 M, PARA TELHA ONDULADA DE FIBROCIMENTO, METÁLICA, PLÁSTICA OU TERMOACÚSTICA, INC LUSO IÇAMENTO</t>
  </si>
  <si>
    <t xml:space="preserve">8.5</t>
  </si>
  <si>
    <t xml:space="preserve">FABRICAÇÃO E INSTALAÇÃO DE TESOURA INTEIRA EM AÇO, VÃO DE 8,5 M, PARA TELHA ONDULADA DE FIBROCIMENTO, METÁLICA, PLÁSTICA OU TERMOACÚSTICA, INC LUSO IÇAMENTO.</t>
  </si>
  <si>
    <t xml:space="preserve">8.6</t>
  </si>
  <si>
    <t xml:space="preserve">8.7</t>
  </si>
  <si>
    <t xml:space="preserve">8.8</t>
  </si>
  <si>
    <t xml:space="preserve">8.9</t>
  </si>
  <si>
    <t xml:space="preserve">8.10</t>
  </si>
  <si>
    <t xml:space="preserve">8.11</t>
  </si>
  <si>
    <t xml:space="preserve">FORRO EM RÉGUAS DE PVC, FRISADO, PARA AMBIENTES RESIDENCIAIS, INCLUSIVE ESTRUTURA DE FIXAÇÃO.</t>
  </si>
  <si>
    <t xml:space="preserve">9.0 INSTALAÇÕES ELÉTRICAS</t>
  </si>
  <si>
    <t xml:space="preserve">91937</t>
  </si>
  <si>
    <t xml:space="preserve">98111</t>
  </si>
  <si>
    <t xml:space="preserve">9.14</t>
  </si>
  <si>
    <t xml:space="preserve">9.15</t>
  </si>
  <si>
    <t xml:space="preserve">9.16</t>
  </si>
  <si>
    <t xml:space="preserve">9.17</t>
  </si>
  <si>
    <t xml:space="preserve">9.18</t>
  </si>
  <si>
    <t xml:space="preserve">9.19</t>
  </si>
  <si>
    <t xml:space="preserve">9.20</t>
  </si>
  <si>
    <t xml:space="preserve">9.21</t>
  </si>
  <si>
    <t xml:space="preserve">9.22</t>
  </si>
  <si>
    <t xml:space="preserve">LUMINÁRIA TIPO PRISMÁTICA PENDENTE COM LÂMPADA LED 18 W/220 V, 5000 K- FORNECIMENTO E INSTALAÇÃO</t>
  </si>
  <si>
    <t xml:space="preserve">9.23</t>
  </si>
  <si>
    <t xml:space="preserve">9.24</t>
  </si>
  <si>
    <t xml:space="preserve">EXAUSTOR AR COM MOTOR ELÉTRICO MONOFÁSICO, POTÊNCIA 22 W/220 V 15x15 CM (com acessórios de exaustão)</t>
  </si>
  <si>
    <t xml:space="preserve">38084 – Insumo</t>
  </si>
  <si>
    <t xml:space="preserve">9.25</t>
  </si>
  <si>
    <t xml:space="preserve">TOMADA PARA ANTENA DE TV, CABO COAXIAL DE 9 MM, CONJ. MONTADO P/ EMBUTIR 4X2 (PLACA, SUPORTE E MÓDULO)</t>
  </si>
  <si>
    <t xml:space="preserve">conj.</t>
  </si>
  <si>
    <t xml:space="preserve">98301</t>
  </si>
  <si>
    <t xml:space="preserve">9.26</t>
  </si>
  <si>
    <t xml:space="preserve">PATCH PANEL, 24 PORTAS, CATEGORIA 5E, COM RACKS DE 19" E 1 U DE ALTURA</t>
  </si>
  <si>
    <t xml:space="preserve">98307</t>
  </si>
  <si>
    <t xml:space="preserve">9.27</t>
  </si>
  <si>
    <t xml:space="preserve">TOMADA PARA REDE RJ 45 - FORNECIMENTO E INSTALAÇÃO</t>
  </si>
  <si>
    <t xml:space="preserve">98308</t>
  </si>
  <si>
    <t xml:space="preserve">9.28</t>
  </si>
  <si>
    <t xml:space="preserve">TOMADA PARA REDE RJ 11 - FORNECIMENTO E INSTALAÇÃO</t>
  </si>
  <si>
    <t xml:space="preserve">10.0 PINTURA EXTERNA</t>
  </si>
  <si>
    <t xml:space="preserve">11.0 CALÇADA ENTORNO</t>
  </si>
  <si>
    <t xml:space="preserve">11.1</t>
  </si>
  <si>
    <t xml:space="preserve">11.2</t>
  </si>
  <si>
    <t xml:space="preserve">LASTRO COM MATERIAL GRANULAR, APLICADO EM PISOS OU LAJES SOBRE SOLO, ESPESSURA DE *5 CM*.</t>
  </si>
  <si>
    <t xml:space="preserve">11.3</t>
  </si>
  <si>
    <t xml:space="preserve">EXECUÇÃO DE PASSEIO (CALÇADA) OU PISO DE CONCRETO COM CONCRETO MOLDADO EXECUÇÃO DE PASSEIO (CALÇADA) OU PISO DE CONCRETO COM CONCRETO MOLDADO IN LOCO, USINADO, ACABAMENTO CONVENCIONAL, NÃO ARMADO</t>
  </si>
  <si>
    <t xml:space="preserve">I 37595</t>
  </si>
  <si>
    <t xml:space="preserve">11.4</t>
  </si>
  <si>
    <t xml:space="preserve">ARGAMASSA COLANTE TIPO AC III</t>
  </si>
  <si>
    <t xml:space="preserve">11.5</t>
  </si>
  <si>
    <t xml:space="preserve">REVESTIMENTO DE PASSEIO (CALÇADA) COM LAJOTA DE CONCRETO DE 49 X 49 X 3,50CM COR GRAFITE</t>
  </si>
  <si>
    <t xml:space="preserve">I 34357</t>
  </si>
  <si>
    <t xml:space="preserve">11.6</t>
  </si>
  <si>
    <t xml:space="preserve">REJUNTE CIMENTICIO, QUALQUER COR</t>
  </si>
  <si>
    <t xml:space="preserve">11.7</t>
  </si>
  <si>
    <t xml:space="preserve">ALVENARIA DE VEDAÇÃO DE BLOCOS CERÂMICOS MACIÇOS DE 5X10X20CM (ESPESSURA 10CM) E ARGAMASSA DE ASSENTAMENTO COM PREPARO EM BETONEIRA (PORTA BANDEIRAS)</t>
  </si>
  <si>
    <t xml:space="preserve">11.8</t>
  </si>
  <si>
    <t xml:space="preserve">ESCAVAÇÃO MANUAL DE VALA COM PROFUNDIDADE MENOR OU IGUAL A 1,30 M (PORTA BANDEIRAS)</t>
  </si>
  <si>
    <t xml:space="preserve">11.9</t>
  </si>
  <si>
    <t xml:space="preserve">TUBO PVC SERIE NORMAL, DN 100 MM (PORTA BANDEIRAS)</t>
  </si>
  <si>
    <t xml:space="preserve">11.10</t>
  </si>
  <si>
    <t xml:space="preserve">CONCRETO FCK = 20MPA, TRAÇO 1:2,7:3 (CIMENTO/ AREIA MÉDIA/ BRITA 1) - PREPARO MECÂNICO COM BETONEIRA 400 L (PORTA BANDEIRAS)</t>
  </si>
  <si>
    <t xml:space="preserve">11.11</t>
  </si>
  <si>
    <t xml:space="preserve">LANÇAMENTO COM USO DE BALDES, ADENSAMENTO E ACABAMENTO DE CONCRETO EM ESTRUTURAS (PORTA BANDEIRAS)</t>
  </si>
  <si>
    <t xml:space="preserve">11.12</t>
  </si>
  <si>
    <t xml:space="preserve">CHAPISCO APLICADO EM ALVENARIAS E ESTRUTURAS DE CONCRETO INTERNAS, COM COLHER DE PEDREIRO. ARGAMASSA TRAÇO 1:3 COM PREPARO EM BETONEIRA 400 L. (PORTA BANDEIRAS)</t>
  </si>
  <si>
    <t xml:space="preserve">11.13</t>
  </si>
  <si>
    <t xml:space="preserve">MASSA ÚNICA, PARA RECEBIMENTO DE PINTURA, EM ARGAMASSA TRAÇO 1:2:8, PREPARO MECÂNICO COM BETONEIRA 400L, APLICADA MANUALMENTE EM FACES INTER NAS DE PAREDES, ESPESSURA DE 20MM, COM EXECUÇÃO DE TALISCAS (PORTA BANDEIRAS)</t>
  </si>
  <si>
    <t xml:space="preserve">11.14</t>
  </si>
  <si>
    <t xml:space="preserve">MASSA FINA, APLICADA MANUALMENTE EM FACES INTERNAS DE PAREDES, ESPESSURA DE 2MM (PORTA BANDEIRAS)</t>
  </si>
  <si>
    <t xml:space="preserve">11.15</t>
  </si>
  <si>
    <t xml:space="preserve">LIXAMENTO PARA APLICAÇÃO DE FUNDO OU PINTURA (PORTA BANDEIRAS)</t>
  </si>
  <si>
    <t xml:space="preserve">11.16</t>
  </si>
  <si>
    <t xml:space="preserve">APLICAÇÃO DE FUNDO SELADOR ACRÍLICO EM PAREDES, UMA DEMÃO (PORTA BANDEIRAS)</t>
  </si>
  <si>
    <t xml:space="preserve">11.17</t>
  </si>
  <si>
    <t xml:space="preserve">APLICAÇÃO MANUAL DE PINTURA COM TINTA LÁTEX ACRÍLICA EM PAREDES, DUAS DEMÃOS (PORTA BANDEIRAS)</t>
  </si>
  <si>
    <t xml:space="preserve">12.0 PASSEIO</t>
  </si>
  <si>
    <t xml:space="preserve">12.1</t>
  </si>
  <si>
    <t xml:space="preserve">DEMOLIÇÃO DE PILARES E VIGAS EM CONCRETO ARMADO, DE FORMA MANUAL, SEM REAPROVEITAMENTO</t>
  </si>
  <si>
    <t xml:space="preserve">12.2</t>
  </si>
  <si>
    <t xml:space="preserve">12.3</t>
  </si>
  <si>
    <t xml:space="preserve">12.4</t>
  </si>
  <si>
    <t xml:space="preserve">CINTA DE AMARRAÇÃO DE ALVENARIA MOLDADA IN LOCO EM CONCRETO (20CM)</t>
  </si>
  <si>
    <t xml:space="preserve">12.5</t>
  </si>
  <si>
    <t xml:space="preserve">12.6</t>
  </si>
  <si>
    <t xml:space="preserve">12.7</t>
  </si>
  <si>
    <t xml:space="preserve">12.8</t>
  </si>
  <si>
    <t xml:space="preserve">12.9</t>
  </si>
  <si>
    <t xml:space="preserve">12.10</t>
  </si>
  <si>
    <t xml:space="preserve">12.11</t>
  </si>
  <si>
    <t xml:space="preserve">12.12</t>
  </si>
  <si>
    <t xml:space="preserve">LIMPEZA MECANIZADA DE CAMADA VEGETAL, VEGETAÇÃO E PEQUENAS ÁRVORES (DIÂMETRO DE TRONCO MENOR QUE 0,20 M), COM TRATOR DE ESTEIRAS</t>
  </si>
  <si>
    <t xml:space="preserve">12.13</t>
  </si>
  <si>
    <t xml:space="preserve">12.14</t>
  </si>
  <si>
    <t xml:space="preserve">12.15</t>
  </si>
  <si>
    <t xml:space="preserve">12.16</t>
  </si>
  <si>
    <t xml:space="preserve">12.17</t>
  </si>
  <si>
    <t xml:space="preserve">PISO TÁTIL DIRECIONAL  0,45 X 0,45 X 3,50 CM (VERMELHO) </t>
  </si>
  <si>
    <t xml:space="preserve">12.18</t>
  </si>
  <si>
    <t xml:space="preserve">13.0 SERVIÇOS FINAIS</t>
  </si>
  <si>
    <t xml:space="preserve">CARGA MANUAL DE ENTULHO EM CAÇAMBA DE 5M³</t>
  </si>
  <si>
    <t xml:space="preserve">LIMPEZA DE CONTRAPISO COM VASSOURA A SECO</t>
  </si>
  <si>
    <t xml:space="preserve">TOTAL FINAL REFORMA</t>
  </si>
  <si>
    <t xml:space="preserve">TOTAL FINAL </t>
  </si>
  <si>
    <t xml:space="preserve">Material</t>
  </si>
  <si>
    <t xml:space="preserve">Mão de Obra</t>
  </si>
  <si>
    <t xml:space="preserve">Três Passos, 06 de Setembro de 2021</t>
  </si>
  <si>
    <t xml:space="preserve">_____________________________________</t>
  </si>
  <si>
    <t xml:space="preserve"> Eng. Civil Camila Mertz Sousa </t>
  </si>
  <si>
    <t xml:space="preserve"> Eng. Eletricista Ronaldo Funchal</t>
  </si>
  <si>
    <t xml:space="preserve">CREA 231477</t>
  </si>
  <si>
    <t xml:space="preserve">CREA 46.943 D</t>
  </si>
  <si>
    <t xml:space="preserve">CRONOGRAMA FÍSICO/FINANCEIRO  EMEF JOÃO PADILHA DO NASCIMENTO (ANEXO)</t>
  </si>
  <si>
    <r>
      <rPr>
        <sz val="10"/>
        <rFont val="Times New Roman"/>
        <family val="1"/>
        <charset val="1"/>
      </rPr>
      <t xml:space="preserve">EMPREENDIMENTO:</t>
    </r>
    <r>
      <rPr>
        <b val="true"/>
        <sz val="10"/>
        <rFont val="Times New Roman"/>
        <family val="1"/>
        <charset val="1"/>
      </rPr>
      <t xml:space="preserve"> AMPLIAÇÃO E REFORMA DA EMEF JOÃO PADILHA DO NASCIMENTO (ANEXO)</t>
    </r>
  </si>
  <si>
    <t xml:space="preserve">ENDEREÇO: RUA DOM PEDRO I, Nº 471</t>
  </si>
  <si>
    <t xml:space="preserve">CRONOGRAMA DE DESEMBOLSO</t>
  </si>
  <si>
    <t xml:space="preserve">Projetos / Mês</t>
  </si>
  <si>
    <t xml:space="preserve">%</t>
  </si>
  <si>
    <t xml:space="preserve">Total / Serviços</t>
  </si>
  <si>
    <t xml:space="preserve">1º mês</t>
  </si>
  <si>
    <t xml:space="preserve">2º mês</t>
  </si>
  <si>
    <t xml:space="preserve">3º mês</t>
  </si>
  <si>
    <t xml:space="preserve">4º mês</t>
  </si>
  <si>
    <t xml:space="preserve">5º mês</t>
  </si>
  <si>
    <t xml:space="preserve">TOTAL AMPLIAÇÃO</t>
  </si>
  <si>
    <t xml:space="preserve">TOTAL ACUMULADO AMPLIAÇÃO</t>
  </si>
  <si>
    <t xml:space="preserve">TOTAL REFORMA</t>
  </si>
  <si>
    <t xml:space="preserve">TOTAL ACUMULADO REFORMA</t>
  </si>
  <si>
    <t xml:space="preserve">TOTAL ACUMULADO TOTAL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</si>
</sst>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0%"/>
    <numFmt numFmtId="166" formatCode="* #,##0.00\ ;* \(#,##0.00\);* \-#\ ;@\ "/>
    <numFmt numFmtId="167" formatCode="0.00"/>
    <numFmt numFmtId="168" formatCode="[$R$-416]\ #,##0.00;[RED]\-[$R$-416]\ #,##0.00"/>
    <numFmt numFmtId="169" formatCode="#,##0.00"/>
    <numFmt numFmtId="170" formatCode="@"/>
    <numFmt numFmtId="171" formatCode="General"/>
    <numFmt numFmtId="172" formatCode="* #,##0.00\ ;\-* #,##0.00\ ;* \-#\ ;@\ "/>
    <numFmt numFmtId="173" formatCode="0.00%"/>
  </numFmts>
  <fonts count="2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i val="true"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u val="single"/>
      <sz val="10"/>
      <color rgb="FF0000EE"/>
      <name val="Calibri"/>
      <family val="2"/>
      <charset val="1"/>
    </font>
    <font>
      <sz val="10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Calibri"/>
      <family val="2"/>
      <charset val="1"/>
    </font>
    <font>
      <b val="true"/>
      <sz val="9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 val="true"/>
      <sz val="10"/>
      <color rgb="FF000000"/>
      <name val="Times New Roman"/>
      <family val="1"/>
      <charset val="1"/>
    </font>
    <font>
      <b val="true"/>
      <sz val="1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9"/>
      <name val="Times New Roman"/>
      <family val="1"/>
      <charset val="1"/>
    </font>
    <font>
      <sz val="9"/>
      <color rgb="FF000000"/>
      <name val="Times New Roman"/>
      <family val="1"/>
      <charset val="1"/>
    </font>
    <font>
      <b val="true"/>
      <sz val="9"/>
      <name val="Times New Roman"/>
      <family val="1"/>
      <charset val="1"/>
    </font>
    <font>
      <sz val="9"/>
      <color rgb="FF000000"/>
      <name val="Calibri"/>
      <family val="2"/>
      <charset val="1"/>
    </font>
    <font>
      <sz val="10"/>
      <name val="Times New Roman"/>
      <family val="1"/>
      <charset val="1"/>
    </font>
  </fonts>
  <fills count="17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DDE8CB"/>
      </patternFill>
    </fill>
    <fill>
      <patternFill patternType="solid">
        <fgColor rgb="FFFFCCCC"/>
        <bgColor rgb="FFFFD8CE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DDE8CB"/>
      </patternFill>
    </fill>
    <fill>
      <patternFill patternType="solid">
        <fgColor rgb="FFFFFFCC"/>
        <bgColor rgb="FFFFFFFF"/>
      </patternFill>
    </fill>
    <fill>
      <patternFill patternType="solid">
        <fgColor rgb="FF34CBB6"/>
        <bgColor rgb="FF66CCFF"/>
      </patternFill>
    </fill>
    <fill>
      <patternFill patternType="solid">
        <fgColor rgb="FF66CCFF"/>
        <bgColor rgb="FF34CBB6"/>
      </patternFill>
    </fill>
    <fill>
      <patternFill patternType="solid">
        <fgColor rgb="FFFFDBB6"/>
        <bgColor rgb="FFFFD8CE"/>
      </patternFill>
    </fill>
    <fill>
      <patternFill patternType="solid">
        <fgColor rgb="FFC4E9FB"/>
        <bgColor rgb="FFDDDDDD"/>
      </patternFill>
    </fill>
    <fill>
      <patternFill patternType="solid">
        <fgColor rgb="FFFFFFFF"/>
        <bgColor rgb="FFFFFFCC"/>
      </patternFill>
    </fill>
    <fill>
      <patternFill patternType="solid">
        <fgColor rgb="FFFFD8CE"/>
        <bgColor rgb="FFFFDBB6"/>
      </patternFill>
    </fill>
    <fill>
      <patternFill patternType="solid">
        <fgColor rgb="FFADD0F7"/>
        <bgColor rgb="FFC4E9FB"/>
      </patternFill>
    </fill>
    <fill>
      <patternFill patternType="solid">
        <fgColor rgb="FFDDE8CB"/>
        <bgColor rgb="FFDDDDDD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2A6099"/>
      </left>
      <right style="thin">
        <color rgb="FF2A6099"/>
      </right>
      <top style="thin">
        <color rgb="FF2A6099"/>
      </top>
      <bottom style="thin">
        <color rgb="FF2A6099"/>
      </bottom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4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2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  <xf numFmtId="164" fontId="1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8" borderId="1" applyFont="true" applyBorder="tru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2" xfId="3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9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2" xfId="3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2" xfId="3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11" borderId="2" xfId="3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6" fillId="11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6" fillId="11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2" xfId="3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1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8" fontId="2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2" xfId="3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21" fillId="1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2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4" xfId="3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4" xfId="3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2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2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0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2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1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2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6" fillId="9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2" xfId="3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2" xfId="3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6" xfId="3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1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13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14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23" fillId="1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1" fillId="13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1" fillId="0" borderId="2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3" fontId="21" fillId="13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13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21" fillId="13" borderId="2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21" fillId="0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21" fillId="0" borderId="2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21" fillId="1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2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15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1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21" fillId="16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16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22" fillId="16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1" fillId="16" borderId="2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2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</cellXfs>
  <cellStyles count="2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14" xfId="20"/>
    <cellStyle name="Accent 13" xfId="21"/>
    <cellStyle name="Accent 2 15" xfId="22"/>
    <cellStyle name="Accent 3 16" xfId="23"/>
    <cellStyle name="Bad 10" xfId="24"/>
    <cellStyle name="Error 12" xfId="25"/>
    <cellStyle name="Footnote 5" xfId="26"/>
    <cellStyle name="Good 8" xfId="27"/>
    <cellStyle name="Heading 1 1" xfId="28"/>
    <cellStyle name="Heading 2 2" xfId="29"/>
    <cellStyle name="Hyperlink 6" xfId="30"/>
    <cellStyle name="Neutral 9" xfId="31"/>
    <cellStyle name="Normal 2" xfId="32"/>
    <cellStyle name="Note 4" xfId="33"/>
    <cellStyle name="Porcentagem 2" xfId="34"/>
    <cellStyle name="Separador de milhares 2" xfId="35"/>
    <cellStyle name="Status 7" xfId="36"/>
    <cellStyle name="Text 3" xfId="37"/>
    <cellStyle name="Vírgula 2" xfId="38"/>
    <cellStyle name="Warning 11" xfId="39"/>
  </cellStyle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FFCCCC"/>
      <rgbColor rgb="FF808080"/>
      <rgbColor rgb="FF66CCFF"/>
      <rgbColor rgb="FF993366"/>
      <rgbColor rgb="FFFFFFCC"/>
      <rgbColor rgb="FFC4E9FB"/>
      <rgbColor rgb="FF660066"/>
      <rgbColor rgb="FFFF8080"/>
      <rgbColor rgb="FF2A6099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DE8CB"/>
      <rgbColor rgb="FFCCFFCC"/>
      <rgbColor rgb="FFFFD8CE"/>
      <rgbColor rgb="FFADD0F7"/>
      <rgbColor rgb="FFFF99CC"/>
      <rgbColor rgb="FFCC99FF"/>
      <rgbColor rgb="FFFFDBB6"/>
      <rgbColor rgb="FF3366FF"/>
      <rgbColor rgb="FF34CBB6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2007000</xdr:colOff>
      <xdr:row>0</xdr:row>
      <xdr:rowOff>0</xdr:rowOff>
    </xdr:from>
    <xdr:to>
      <xdr:col>6</xdr:col>
      <xdr:colOff>640800</xdr:colOff>
      <xdr:row>3</xdr:row>
      <xdr:rowOff>154080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3224880" y="0"/>
          <a:ext cx="3592440" cy="6796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513000</xdr:colOff>
      <xdr:row>0</xdr:row>
      <xdr:rowOff>19080</xdr:rowOff>
    </xdr:from>
    <xdr:to>
      <xdr:col>8</xdr:col>
      <xdr:colOff>495000</xdr:colOff>
      <xdr:row>4</xdr:row>
      <xdr:rowOff>120240</xdr:rowOff>
    </xdr:to>
    <xdr:pic>
      <xdr:nvPicPr>
        <xdr:cNvPr id="1" name="Figura 2" descr=""/>
        <xdr:cNvPicPr/>
      </xdr:nvPicPr>
      <xdr:blipFill>
        <a:blip r:embed="rId1"/>
        <a:stretch/>
      </xdr:blipFill>
      <xdr:spPr>
        <a:xfrm>
          <a:off x="3692160" y="19080"/>
          <a:ext cx="4144680" cy="8020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1048576"/>
  <sheetViews>
    <sheetView showFormulas="false" showGridLines="true" showRowColHeaders="true" showZeros="true" rightToLeft="false" tabSelected="true" showOutlineSymbols="true" defaultGridColor="true" view="normal" topLeftCell="A22" colorId="64" zoomScale="100" zoomScaleNormal="100" zoomScalePageLayoutView="100" workbookViewId="0">
      <selection pane="topLeft" activeCell="A10" activeCellId="0" sqref="A10"/>
    </sheetView>
  </sheetViews>
  <sheetFormatPr defaultRowHeight="13.8" zeroHeight="false" outlineLevelRow="0" outlineLevelCol="0"/>
  <cols>
    <col collapsed="false" customWidth="true" hidden="false" outlineLevel="0" max="1" min="1" style="0" width="9.13"/>
    <col collapsed="false" customWidth="true" hidden="false" outlineLevel="0" max="2" min="2" style="0" width="8.14"/>
    <col collapsed="false" customWidth="true" hidden="false" outlineLevel="0" max="3" min="3" style="0" width="44.14"/>
    <col collapsed="false" customWidth="true" hidden="false" outlineLevel="0" max="4" min="4" style="0" width="5.43"/>
    <col collapsed="false" customWidth="true" hidden="false" outlineLevel="0" max="5" min="5" style="0" width="10"/>
    <col collapsed="false" customWidth="true" hidden="false" outlineLevel="0" max="6" min="6" style="0" width="10.71"/>
    <col collapsed="false" customWidth="true" hidden="false" outlineLevel="0" max="8" min="7" style="0" width="11.86"/>
    <col collapsed="false" customWidth="true" hidden="false" outlineLevel="0" max="9" min="9" style="0" width="11.71"/>
    <col collapsed="false" customWidth="true" hidden="false" outlineLevel="0" max="10" min="10" style="0" width="14.15"/>
    <col collapsed="false" customWidth="true" hidden="false" outlineLevel="0" max="11" min="11" style="0" width="22.57"/>
    <col collapsed="false" customWidth="true" hidden="false" outlineLevel="0" max="12" min="12" style="0" width="14.28"/>
    <col collapsed="false" customWidth="true" hidden="false" outlineLevel="0" max="13" min="13" style="0" width="47.43"/>
    <col collapsed="false" customWidth="true" hidden="false" outlineLevel="0" max="1025" min="14" style="0" width="8.71"/>
  </cols>
  <sheetData>
    <row r="1" customFormat="false" ht="13.8" hidden="false" customHeight="fals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</row>
    <row r="2" customFormat="false" ht="13.8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2"/>
      <c r="M2" s="2"/>
      <c r="N2" s="2"/>
      <c r="O2" s="2"/>
    </row>
    <row r="3" customFormat="false" ht="13.8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2"/>
      <c r="M3" s="2"/>
      <c r="N3" s="2"/>
      <c r="O3" s="2"/>
    </row>
    <row r="4" customFormat="false" ht="13.8" hidden="false" customHeight="false" outlineLevel="0" collapsed="false">
      <c r="A4" s="1"/>
      <c r="B4" s="1"/>
      <c r="C4" s="1"/>
      <c r="D4" s="1"/>
      <c r="E4" s="1"/>
      <c r="F4" s="1"/>
      <c r="G4" s="1"/>
      <c r="H4" s="1"/>
      <c r="I4" s="1"/>
      <c r="J4" s="1"/>
      <c r="K4" s="2"/>
      <c r="L4" s="2"/>
      <c r="M4" s="2"/>
      <c r="N4" s="2"/>
      <c r="O4" s="2"/>
    </row>
    <row r="5" customFormat="false" ht="13.8" hidden="false" customHeight="false" outlineLevel="0" collapsed="false">
      <c r="A5" s="3" t="s">
        <v>0</v>
      </c>
      <c r="B5" s="3"/>
      <c r="C5" s="3"/>
      <c r="D5" s="3"/>
      <c r="E5" s="3"/>
      <c r="F5" s="3"/>
      <c r="G5" s="3"/>
      <c r="H5" s="3"/>
      <c r="I5" s="3"/>
      <c r="J5" s="3"/>
      <c r="K5" s="2"/>
      <c r="L5" s="2"/>
      <c r="M5" s="2"/>
      <c r="N5" s="2"/>
      <c r="O5" s="2"/>
    </row>
    <row r="6" customFormat="false" ht="13.8" hidden="false" customHeight="false" outlineLevel="0" collapsed="false">
      <c r="A6" s="4" t="s">
        <v>1</v>
      </c>
      <c r="B6" s="4"/>
      <c r="C6" s="4"/>
      <c r="D6" s="4"/>
      <c r="E6" s="4"/>
      <c r="F6" s="4"/>
      <c r="G6" s="4"/>
      <c r="H6" s="4"/>
      <c r="I6" s="4"/>
      <c r="J6" s="4"/>
      <c r="K6" s="5"/>
      <c r="L6" s="2"/>
      <c r="M6" s="2"/>
      <c r="N6" s="2"/>
      <c r="O6" s="2"/>
    </row>
    <row r="7" customFormat="false" ht="13.8" hidden="false" customHeight="false" outlineLevel="0" collapsed="false">
      <c r="A7" s="6" t="s">
        <v>2</v>
      </c>
      <c r="B7" s="6"/>
      <c r="C7" s="6"/>
      <c r="D7" s="6"/>
      <c r="E7" s="6"/>
      <c r="F7" s="6"/>
      <c r="G7" s="6"/>
      <c r="H7" s="6"/>
      <c r="I7" s="6"/>
      <c r="J7" s="6"/>
      <c r="K7" s="5"/>
      <c r="L7" s="2"/>
      <c r="M7" s="2"/>
      <c r="N7" s="2"/>
      <c r="O7" s="2"/>
    </row>
    <row r="8" customFormat="false" ht="13.8" hidden="false" customHeight="false" outlineLevel="0" collapsed="false">
      <c r="A8" s="6" t="s">
        <v>3</v>
      </c>
      <c r="B8" s="6"/>
      <c r="C8" s="6"/>
      <c r="D8" s="6"/>
      <c r="E8" s="6"/>
      <c r="F8" s="6"/>
      <c r="G8" s="6"/>
      <c r="H8" s="6"/>
      <c r="I8" s="6"/>
      <c r="J8" s="6"/>
      <c r="K8" s="5"/>
      <c r="L8" s="2"/>
      <c r="M8" s="2"/>
      <c r="N8" s="2"/>
      <c r="O8" s="2"/>
    </row>
    <row r="9" customFormat="false" ht="13.8" hidden="false" customHeight="false" outlineLevel="0" collapsed="false">
      <c r="A9" s="7" t="s">
        <v>4</v>
      </c>
      <c r="B9" s="7"/>
      <c r="C9" s="7"/>
      <c r="D9" s="7"/>
      <c r="E9" s="7"/>
      <c r="F9" s="7"/>
      <c r="G9" s="7"/>
      <c r="H9" s="7"/>
      <c r="I9" s="7"/>
      <c r="J9" s="7"/>
      <c r="K9" s="5"/>
      <c r="L9" s="2"/>
      <c r="M9" s="2"/>
      <c r="N9" s="2"/>
      <c r="O9" s="2"/>
    </row>
    <row r="10" customFormat="false" ht="13.8" hidden="false" customHeight="false" outlineLevel="0" collapsed="false">
      <c r="A10" s="7" t="s">
        <v>5</v>
      </c>
      <c r="B10" s="7"/>
      <c r="C10" s="7"/>
      <c r="D10" s="7"/>
      <c r="E10" s="7"/>
      <c r="F10" s="7"/>
      <c r="G10" s="7"/>
      <c r="H10" s="7"/>
      <c r="I10" s="7"/>
      <c r="J10" s="7"/>
      <c r="K10" s="5"/>
      <c r="L10" s="2"/>
      <c r="M10" s="2"/>
      <c r="N10" s="2"/>
      <c r="O10" s="2"/>
    </row>
    <row r="11" customFormat="false" ht="13.8" hidden="false" customHeight="false" outlineLevel="0" collapsed="false">
      <c r="A11" s="8" t="s">
        <v>6</v>
      </c>
      <c r="B11" s="8"/>
      <c r="C11" s="8"/>
      <c r="D11" s="8"/>
      <c r="E11" s="8"/>
      <c r="F11" s="8"/>
      <c r="G11" s="8"/>
      <c r="H11" s="8"/>
      <c r="I11" s="8"/>
      <c r="J11" s="8"/>
      <c r="K11" s="5"/>
      <c r="L11" s="2"/>
      <c r="M11" s="2"/>
      <c r="N11" s="2"/>
      <c r="O11" s="2"/>
    </row>
    <row r="12" customFormat="false" ht="13.8" hidden="false" customHeight="false" outlineLevel="0" collapsed="false">
      <c r="A12" s="8" t="s">
        <v>7</v>
      </c>
      <c r="B12" s="8"/>
      <c r="C12" s="8"/>
      <c r="D12" s="8"/>
      <c r="E12" s="8"/>
      <c r="F12" s="8"/>
      <c r="G12" s="8"/>
      <c r="H12" s="8"/>
      <c r="I12" s="8"/>
      <c r="J12" s="8"/>
      <c r="K12" s="5"/>
      <c r="L12" s="2"/>
      <c r="M12" s="2"/>
      <c r="N12" s="2"/>
      <c r="O12" s="2"/>
    </row>
    <row r="13" customFormat="false" ht="13.8" hidden="false" customHeight="false" outlineLevel="0" collapsed="false">
      <c r="A13" s="8" t="s">
        <v>8</v>
      </c>
      <c r="B13" s="8"/>
      <c r="C13" s="8"/>
      <c r="D13" s="8"/>
      <c r="E13" s="8"/>
      <c r="F13" s="8"/>
      <c r="G13" s="8"/>
      <c r="H13" s="8"/>
      <c r="I13" s="8"/>
      <c r="J13" s="8"/>
      <c r="K13" s="5"/>
      <c r="L13" s="2"/>
      <c r="M13" s="2"/>
      <c r="N13" s="2"/>
      <c r="O13" s="2"/>
    </row>
    <row r="14" customFormat="false" ht="32.8" hidden="false" customHeight="false" outlineLevel="0" collapsed="false">
      <c r="A14" s="9" t="s">
        <v>9</v>
      </c>
      <c r="B14" s="9" t="s">
        <v>10</v>
      </c>
      <c r="C14" s="9" t="s">
        <v>11</v>
      </c>
      <c r="D14" s="9" t="s">
        <v>12</v>
      </c>
      <c r="E14" s="9" t="s">
        <v>13</v>
      </c>
      <c r="F14" s="9" t="s">
        <v>14</v>
      </c>
      <c r="G14" s="9" t="s">
        <v>8</v>
      </c>
      <c r="H14" s="9" t="s">
        <v>15</v>
      </c>
      <c r="I14" s="9" t="s">
        <v>16</v>
      </c>
      <c r="J14" s="9" t="s">
        <v>17</v>
      </c>
      <c r="K14" s="5"/>
      <c r="L14" s="2"/>
      <c r="M14" s="2"/>
      <c r="N14" s="2"/>
      <c r="O14" s="2"/>
    </row>
    <row r="15" customFormat="false" ht="13.8" hidden="false" customHeight="false" outlineLevel="0" collapsed="false">
      <c r="A15" s="10" t="s">
        <v>18</v>
      </c>
      <c r="B15" s="10"/>
      <c r="C15" s="10"/>
      <c r="D15" s="10"/>
      <c r="E15" s="10"/>
      <c r="F15" s="10"/>
      <c r="G15" s="10"/>
      <c r="H15" s="10"/>
      <c r="I15" s="10"/>
      <c r="J15" s="10"/>
    </row>
    <row r="16" customFormat="false" ht="13.8" hidden="false" customHeight="false" outlineLevel="0" collapsed="false">
      <c r="A16" s="11" t="s">
        <v>19</v>
      </c>
      <c r="B16" s="11"/>
      <c r="C16" s="11"/>
      <c r="D16" s="11"/>
      <c r="E16" s="11"/>
      <c r="F16" s="11"/>
      <c r="G16" s="11"/>
      <c r="H16" s="11"/>
      <c r="I16" s="11"/>
      <c r="J16" s="11"/>
    </row>
    <row r="17" customFormat="false" ht="32.8" hidden="false" customHeight="false" outlineLevel="0" collapsed="false">
      <c r="A17" s="12" t="s">
        <v>20</v>
      </c>
      <c r="B17" s="13" t="s">
        <v>21</v>
      </c>
      <c r="C17" s="13" t="s">
        <v>22</v>
      </c>
      <c r="D17" s="14" t="s">
        <v>23</v>
      </c>
      <c r="E17" s="15" t="n">
        <f aca="false">2*1.125</f>
        <v>2.25</v>
      </c>
      <c r="F17" s="16" t="n">
        <v>225</v>
      </c>
      <c r="G17" s="16" t="n">
        <f aca="false">F17*1.25</f>
        <v>281.25</v>
      </c>
      <c r="H17" s="16" t="n">
        <f aca="false">J17*0.6</f>
        <v>379.6875</v>
      </c>
      <c r="I17" s="16" t="n">
        <f aca="false">J17*0.4</f>
        <v>253.125</v>
      </c>
      <c r="J17" s="16" t="n">
        <f aca="false">ROUND(E17,2)*(ROUND(G17,2))</f>
        <v>632.8125</v>
      </c>
    </row>
    <row r="18" customFormat="false" ht="32.8" hidden="false" customHeight="false" outlineLevel="0" collapsed="false">
      <c r="A18" s="12" t="n">
        <v>93584</v>
      </c>
      <c r="B18" s="13" t="s">
        <v>24</v>
      </c>
      <c r="C18" s="13" t="s">
        <v>22</v>
      </c>
      <c r="D18" s="14" t="s">
        <v>23</v>
      </c>
      <c r="E18" s="15" t="n">
        <v>6</v>
      </c>
      <c r="F18" s="16" t="n">
        <v>732.87</v>
      </c>
      <c r="G18" s="16" t="n">
        <f aca="false">F18*1.25</f>
        <v>916.0875</v>
      </c>
      <c r="H18" s="16" t="n">
        <f aca="false">J18*0.6</f>
        <v>3297.924</v>
      </c>
      <c r="I18" s="16" t="n">
        <f aca="false">J18*0.4</f>
        <v>2198.616</v>
      </c>
      <c r="J18" s="16" t="n">
        <f aca="false">ROUND(E18,2)*(ROUND(G18,2))</f>
        <v>5496.54</v>
      </c>
      <c r="K18" s="17"/>
    </row>
    <row r="19" customFormat="false" ht="32.8" hidden="false" customHeight="false" outlineLevel="0" collapsed="false">
      <c r="A19" s="12" t="n">
        <v>98527</v>
      </c>
      <c r="B19" s="13" t="s">
        <v>25</v>
      </c>
      <c r="C19" s="13" t="s">
        <v>26</v>
      </c>
      <c r="D19" s="14" t="s">
        <v>27</v>
      </c>
      <c r="E19" s="15" t="n">
        <v>4</v>
      </c>
      <c r="F19" s="16" t="n">
        <v>148.26</v>
      </c>
      <c r="G19" s="16" t="n">
        <f aca="false">F19*1.25</f>
        <v>185.325</v>
      </c>
      <c r="H19" s="16" t="n">
        <f aca="false">J19*0.6</f>
        <v>444.792</v>
      </c>
      <c r="I19" s="16" t="n">
        <f aca="false">J19*0.4</f>
        <v>296.528</v>
      </c>
      <c r="J19" s="16" t="n">
        <f aca="false">ROUND(E19,2)*(ROUND(G19,2))</f>
        <v>741.32</v>
      </c>
      <c r="K19" s="17"/>
    </row>
    <row r="20" customFormat="false" ht="13.8" hidden="false" customHeight="false" outlineLevel="0" collapsed="false">
      <c r="A20" s="12" t="n">
        <v>98459</v>
      </c>
      <c r="B20" s="13" t="s">
        <v>28</v>
      </c>
      <c r="C20" s="13" t="s">
        <v>29</v>
      </c>
      <c r="D20" s="14" t="s">
        <v>23</v>
      </c>
      <c r="E20" s="15" t="n">
        <f aca="false">(1+10.15+11.7+20.3+1)*2</f>
        <v>88.3</v>
      </c>
      <c r="F20" s="16" t="n">
        <v>99.71</v>
      </c>
      <c r="G20" s="16" t="n">
        <f aca="false">F20*1.25</f>
        <v>124.6375</v>
      </c>
      <c r="H20" s="16" t="n">
        <f aca="false">J20*0.6</f>
        <v>6603.4272</v>
      </c>
      <c r="I20" s="16" t="n">
        <f aca="false">J20*0.4</f>
        <v>4402.2848</v>
      </c>
      <c r="J20" s="16" t="n">
        <f aca="false">ROUND(E20,2)*(ROUND(G20,2))</f>
        <v>11005.712</v>
      </c>
      <c r="K20" s="17"/>
    </row>
    <row r="21" customFormat="false" ht="32.8" hidden="false" customHeight="false" outlineLevel="0" collapsed="false">
      <c r="A21" s="12" t="n">
        <v>97637</v>
      </c>
      <c r="B21" s="13" t="s">
        <v>30</v>
      </c>
      <c r="C21" s="13" t="s">
        <v>31</v>
      </c>
      <c r="D21" s="14" t="s">
        <v>23</v>
      </c>
      <c r="E21" s="15" t="n">
        <f aca="false">E20</f>
        <v>88.3</v>
      </c>
      <c r="F21" s="16" t="n">
        <v>2.25</v>
      </c>
      <c r="G21" s="16" t="n">
        <f aca="false">F21*1.25</f>
        <v>2.8125</v>
      </c>
      <c r="H21" s="16" t="n">
        <f aca="false">J21*0.6</f>
        <v>148.8738</v>
      </c>
      <c r="I21" s="16" t="n">
        <f aca="false">J21*0.4</f>
        <v>99.2492</v>
      </c>
      <c r="J21" s="16" t="n">
        <f aca="false">ROUND(E21,2)*(ROUND(G21,2))</f>
        <v>248.123</v>
      </c>
      <c r="K21" s="17"/>
    </row>
    <row r="22" customFormat="false" ht="13.8" hidden="false" customHeight="false" outlineLevel="0" collapsed="false">
      <c r="A22" s="18"/>
      <c r="B22" s="18"/>
      <c r="C22" s="18"/>
      <c r="D22" s="18"/>
      <c r="E22" s="18"/>
      <c r="F22" s="18"/>
      <c r="G22" s="18"/>
      <c r="H22" s="18"/>
      <c r="I22" s="19" t="s">
        <v>32</v>
      </c>
      <c r="J22" s="20" t="n">
        <f aca="false">SUM(J17:J21)</f>
        <v>18124.5075</v>
      </c>
      <c r="K22" s="17"/>
    </row>
    <row r="23" customFormat="false" ht="13.8" hidden="false" customHeight="false" outlineLevel="0" collapsed="false">
      <c r="A23" s="11" t="s">
        <v>33</v>
      </c>
      <c r="B23" s="11"/>
      <c r="C23" s="11"/>
      <c r="D23" s="11"/>
      <c r="E23" s="11"/>
      <c r="F23" s="11"/>
      <c r="G23" s="11"/>
      <c r="H23" s="11"/>
      <c r="I23" s="11"/>
      <c r="J23" s="11"/>
    </row>
    <row r="24" customFormat="false" ht="22.35" hidden="false" customHeight="false" outlineLevel="0" collapsed="false">
      <c r="A24" s="21" t="n">
        <v>98524</v>
      </c>
      <c r="B24" s="13" t="s">
        <v>34</v>
      </c>
      <c r="C24" s="13" t="s">
        <v>35</v>
      </c>
      <c r="D24" s="14" t="s">
        <v>23</v>
      </c>
      <c r="E24" s="15" t="n">
        <v>243.61</v>
      </c>
      <c r="F24" s="16" t="n">
        <v>2.76</v>
      </c>
      <c r="G24" s="16" t="n">
        <f aca="false">F24*1.25</f>
        <v>3.45</v>
      </c>
      <c r="H24" s="16" t="n">
        <f aca="false">J24*0.6</f>
        <v>504.2727</v>
      </c>
      <c r="I24" s="16" t="n">
        <f aca="false">J24*0.4</f>
        <v>336.1818</v>
      </c>
      <c r="J24" s="16" t="n">
        <f aca="false">ROUND(E24,2)*(ROUND(G24,2))</f>
        <v>840.4545</v>
      </c>
    </row>
    <row r="25" customFormat="false" ht="32.8" hidden="false" customHeight="false" outlineLevel="0" collapsed="false">
      <c r="A25" s="21" t="n">
        <v>99059</v>
      </c>
      <c r="B25" s="13" t="s">
        <v>36</v>
      </c>
      <c r="C25" s="13" t="s">
        <v>37</v>
      </c>
      <c r="D25" s="14" t="s">
        <v>38</v>
      </c>
      <c r="E25" s="15" t="n">
        <f aca="false">(10.7+0.5+4.6+4.6+4.6+10.7+5.6+5.45+18.7+0.5+5.45+3.05+1.8+2.4+3.05+1.5+5.45+5.45+18.7+2.8)+2.65+5.6</f>
        <v>123.85</v>
      </c>
      <c r="F25" s="16" t="n">
        <v>42.4</v>
      </c>
      <c r="G25" s="16" t="n">
        <f aca="false">F25*1.25</f>
        <v>53</v>
      </c>
      <c r="H25" s="16" t="n">
        <f aca="false">J25*0.6</f>
        <v>3938.43</v>
      </c>
      <c r="I25" s="16" t="n">
        <f aca="false">J25*0.4</f>
        <v>2625.62</v>
      </c>
      <c r="J25" s="16" t="n">
        <f aca="false">ROUND(E25,2)*(ROUND(G25,2))</f>
        <v>6564.05</v>
      </c>
    </row>
    <row r="26" customFormat="false" ht="22.35" hidden="false" customHeight="false" outlineLevel="0" collapsed="false">
      <c r="A26" s="21" t="n">
        <v>96526</v>
      </c>
      <c r="B26" s="13" t="s">
        <v>39</v>
      </c>
      <c r="C26" s="22" t="s">
        <v>40</v>
      </c>
      <c r="D26" s="14" t="s">
        <v>41</v>
      </c>
      <c r="E26" s="14" t="n">
        <f aca="false">123.85*0.35*0.5</f>
        <v>21.67375</v>
      </c>
      <c r="F26" s="16" t="n">
        <v>250.95</v>
      </c>
      <c r="G26" s="16" t="n">
        <f aca="false">F26*1.25</f>
        <v>313.6875</v>
      </c>
      <c r="H26" s="16" t="n">
        <f aca="false">J26*0.6</f>
        <v>4078.59738</v>
      </c>
      <c r="I26" s="16" t="n">
        <f aca="false">J26*0.4</f>
        <v>2719.06492</v>
      </c>
      <c r="J26" s="16" t="n">
        <f aca="false">ROUND(E26,2)*(ROUND(G26,2))</f>
        <v>6797.6623</v>
      </c>
    </row>
    <row r="27" customFormat="false" ht="22.35" hidden="false" customHeight="false" outlineLevel="0" collapsed="false">
      <c r="A27" s="21" t="n">
        <v>96522</v>
      </c>
      <c r="B27" s="13" t="s">
        <v>42</v>
      </c>
      <c r="C27" s="22" t="s">
        <v>43</v>
      </c>
      <c r="D27" s="14" t="s">
        <v>41</v>
      </c>
      <c r="E27" s="14" t="n">
        <f aca="false">(0.8*0.8*0.5*33)+(1.5*0.8*0.5*2)</f>
        <v>11.76</v>
      </c>
      <c r="F27" s="16" t="n">
        <v>124.48</v>
      </c>
      <c r="G27" s="16" t="n">
        <f aca="false">F27*1.25</f>
        <v>155.6</v>
      </c>
      <c r="H27" s="16" t="n">
        <f aca="false">J27*0.6</f>
        <v>1097.9136</v>
      </c>
      <c r="I27" s="16" t="n">
        <f aca="false">J27*0.4</f>
        <v>731.9424</v>
      </c>
      <c r="J27" s="16" t="n">
        <f aca="false">ROUND(E27,2)*(ROUND(G27,2))</f>
        <v>1829.856</v>
      </c>
    </row>
    <row r="28" customFormat="false" ht="13.8" hidden="false" customHeight="false" outlineLevel="0" collapsed="false">
      <c r="A28" s="21" t="n">
        <v>96995</v>
      </c>
      <c r="B28" s="13" t="s">
        <v>44</v>
      </c>
      <c r="C28" s="13" t="s">
        <v>45</v>
      </c>
      <c r="D28" s="14" t="s">
        <v>41</v>
      </c>
      <c r="E28" s="14" t="n">
        <f aca="false">((0.8*0.8*0.5*33)-(0.6*0.6*0.5*33))+((1.5*0.8*0.5*2)-(1.3*0.6*0.5*2))+((123.85*0.35*0.5)-(123.85*0.15*0.5))</f>
        <v>17.425</v>
      </c>
      <c r="F28" s="16" t="n">
        <v>42.59</v>
      </c>
      <c r="G28" s="16" t="n">
        <f aca="false">F28*1.25</f>
        <v>53.2375</v>
      </c>
      <c r="H28" s="16" t="n">
        <f aca="false">J28*0.6</f>
        <v>556.78392</v>
      </c>
      <c r="I28" s="16" t="n">
        <f aca="false">J28*0.4</f>
        <v>371.18928</v>
      </c>
      <c r="J28" s="16" t="n">
        <f aca="false">ROUND(E28,2)*(ROUND(G28,2))</f>
        <v>927.9732</v>
      </c>
    </row>
    <row r="29" customFormat="false" ht="13.8" hidden="false" customHeight="false" outlineLevel="0" collapsed="false">
      <c r="A29" s="18"/>
      <c r="B29" s="18"/>
      <c r="C29" s="18"/>
      <c r="D29" s="18"/>
      <c r="E29" s="18"/>
      <c r="F29" s="18"/>
      <c r="G29" s="18"/>
      <c r="H29" s="18"/>
      <c r="I29" s="19" t="s">
        <v>32</v>
      </c>
      <c r="J29" s="20" t="n">
        <f aca="false">SUM(J24:J28)</f>
        <v>16959.996</v>
      </c>
    </row>
    <row r="30" customFormat="false" ht="13.8" hidden="false" customHeight="false" outlineLevel="0" collapsed="false">
      <c r="A30" s="11" t="s">
        <v>46</v>
      </c>
      <c r="B30" s="11"/>
      <c r="C30" s="11"/>
      <c r="D30" s="11"/>
      <c r="E30" s="11"/>
      <c r="F30" s="11"/>
      <c r="G30" s="11"/>
      <c r="H30" s="11"/>
      <c r="I30" s="11"/>
      <c r="J30" s="11"/>
    </row>
    <row r="31" customFormat="false" ht="22.35" hidden="false" customHeight="false" outlineLevel="0" collapsed="false">
      <c r="A31" s="21" t="n">
        <v>102487</v>
      </c>
      <c r="B31" s="13" t="s">
        <v>47</v>
      </c>
      <c r="C31" s="13" t="s">
        <v>48</v>
      </c>
      <c r="D31" s="14" t="s">
        <v>41</v>
      </c>
      <c r="E31" s="14" t="n">
        <f aca="false">123.85*0.2*0.25</f>
        <v>6.1925</v>
      </c>
      <c r="F31" s="16" t="n">
        <v>449.89</v>
      </c>
      <c r="G31" s="16" t="n">
        <f aca="false">F31*1.25</f>
        <v>562.3625</v>
      </c>
      <c r="H31" s="16" t="n">
        <f aca="false">J31*0.6</f>
        <v>2088.60504</v>
      </c>
      <c r="I31" s="16" t="n">
        <f aca="false">J31*0.4</f>
        <v>1392.40336</v>
      </c>
      <c r="J31" s="16" t="n">
        <f aca="false">ROUND(E31,2)*(ROUND(G31,2))</f>
        <v>3481.0084</v>
      </c>
    </row>
    <row r="32" customFormat="false" ht="32.8" hidden="false" customHeight="false" outlineLevel="0" collapsed="false">
      <c r="A32" s="21" t="n">
        <v>96619</v>
      </c>
      <c r="B32" s="13" t="s">
        <v>49</v>
      </c>
      <c r="C32" s="22" t="s">
        <v>50</v>
      </c>
      <c r="D32" s="14" t="s">
        <v>23</v>
      </c>
      <c r="E32" s="14" t="n">
        <f aca="false">(0.6*0.6*33)+(1.2*0.6*2)</f>
        <v>13.32</v>
      </c>
      <c r="F32" s="16" t="n">
        <v>25.07</v>
      </c>
      <c r="G32" s="16" t="n">
        <f aca="false">F32*1.25</f>
        <v>31.3375</v>
      </c>
      <c r="H32" s="16" t="n">
        <f aca="false">J32*0.6</f>
        <v>250.46928</v>
      </c>
      <c r="I32" s="16" t="n">
        <f aca="false">J32*0.4</f>
        <v>166.97952</v>
      </c>
      <c r="J32" s="16" t="n">
        <f aca="false">ROUND(E32,2)*(ROUND(G32,2))</f>
        <v>417.4488</v>
      </c>
    </row>
    <row r="33" customFormat="false" ht="22.35" hidden="false" customHeight="false" outlineLevel="0" collapsed="false">
      <c r="A33" s="21" t="n">
        <v>96546</v>
      </c>
      <c r="B33" s="13" t="s">
        <v>51</v>
      </c>
      <c r="C33" s="22" t="s">
        <v>52</v>
      </c>
      <c r="D33" s="14" t="s">
        <v>53</v>
      </c>
      <c r="E33" s="14" t="n">
        <f aca="false">(2.06*10*0.63*33)+(2.96*10*0.63*2)+(123.85*5*0.63)</f>
        <v>855.6975</v>
      </c>
      <c r="F33" s="16" t="n">
        <v>16.79</v>
      </c>
      <c r="G33" s="16" t="n">
        <f aca="false">F33*1.25</f>
        <v>20.9875</v>
      </c>
      <c r="H33" s="16" t="n">
        <f aca="false">J33*0.6</f>
        <v>10776.6858</v>
      </c>
      <c r="I33" s="16" t="n">
        <f aca="false">J33*0.4</f>
        <v>7184.4572</v>
      </c>
      <c r="J33" s="16" t="n">
        <f aca="false">ROUND(E33,2)*(ROUND(G33,2))</f>
        <v>17961.143</v>
      </c>
    </row>
    <row r="34" customFormat="false" ht="22.35" hidden="false" customHeight="false" outlineLevel="0" collapsed="false">
      <c r="A34" s="21" t="n">
        <v>96543</v>
      </c>
      <c r="B34" s="13" t="s">
        <v>54</v>
      </c>
      <c r="C34" s="22" t="s">
        <v>55</v>
      </c>
      <c r="D34" s="14" t="s">
        <v>53</v>
      </c>
      <c r="E34" s="14" t="n">
        <f aca="false">(123.85/0.15)*0.73*0.16</f>
        <v>96.4378666666667</v>
      </c>
      <c r="F34" s="16" t="n">
        <v>20.15</v>
      </c>
      <c r="G34" s="16" t="n">
        <f aca="false">F34*1.25</f>
        <v>25.1875</v>
      </c>
      <c r="H34" s="16" t="n">
        <f aca="false">J34*0.6</f>
        <v>1457.59416</v>
      </c>
      <c r="I34" s="16" t="n">
        <f aca="false">J34*0.4</f>
        <v>971.72944</v>
      </c>
      <c r="J34" s="16" t="n">
        <f aca="false">ROUND(E34,2)*(ROUND(G34,2))</f>
        <v>2429.3236</v>
      </c>
    </row>
    <row r="35" customFormat="false" ht="32.8" hidden="false" customHeight="false" outlineLevel="0" collapsed="false">
      <c r="A35" s="21" t="n">
        <v>96530</v>
      </c>
      <c r="B35" s="13" t="s">
        <v>56</v>
      </c>
      <c r="C35" s="22" t="s">
        <v>57</v>
      </c>
      <c r="D35" s="14" t="s">
        <v>23</v>
      </c>
      <c r="E35" s="14" t="n">
        <f aca="false">(123.85*0.25*2)</f>
        <v>61.925</v>
      </c>
      <c r="F35" s="16" t="n">
        <v>125.52</v>
      </c>
      <c r="G35" s="16" t="n">
        <f aca="false">F35*1.25</f>
        <v>156.9</v>
      </c>
      <c r="H35" s="16" t="n">
        <f aca="false">J35*0.6</f>
        <v>5830.0902</v>
      </c>
      <c r="I35" s="16" t="n">
        <f aca="false">J35*0.4</f>
        <v>3886.7268</v>
      </c>
      <c r="J35" s="16" t="n">
        <f aca="false">ROUND(E35,2)*(ROUND(G35,2))</f>
        <v>9716.817</v>
      </c>
    </row>
    <row r="36" customFormat="false" ht="43.25" hidden="false" customHeight="false" outlineLevel="0" collapsed="false">
      <c r="A36" s="21" t="n">
        <v>96557</v>
      </c>
      <c r="B36" s="13" t="s">
        <v>58</v>
      </c>
      <c r="C36" s="22" t="s">
        <v>59</v>
      </c>
      <c r="D36" s="14" t="s">
        <v>41</v>
      </c>
      <c r="E36" s="14" t="n">
        <f aca="false">(0.6*0.6*0.5*33)+(1.3*0.6*0.5*2)+(123.85*0.15*0.25)</f>
        <v>11.364375</v>
      </c>
      <c r="F36" s="16" t="n">
        <v>494.3</v>
      </c>
      <c r="G36" s="16" t="n">
        <f aca="false">F36*1.25</f>
        <v>617.875</v>
      </c>
      <c r="H36" s="16" t="n">
        <f aca="false">J36*0.6</f>
        <v>4211.47008</v>
      </c>
      <c r="I36" s="16" t="n">
        <f aca="false">J36*0.4</f>
        <v>2807.64672</v>
      </c>
      <c r="J36" s="16" t="n">
        <f aca="false">ROUND(E36,2)*(ROUND(G36,2))</f>
        <v>7019.1168</v>
      </c>
    </row>
    <row r="37" customFormat="false" ht="22.35" hidden="false" customHeight="false" outlineLevel="0" collapsed="false">
      <c r="A37" s="21" t="n">
        <v>98557</v>
      </c>
      <c r="B37" s="13" t="s">
        <v>60</v>
      </c>
      <c r="C37" s="22" t="s">
        <v>61</v>
      </c>
      <c r="D37" s="14" t="s">
        <v>23</v>
      </c>
      <c r="E37" s="14" t="n">
        <f aca="false">(123.85*0.25*2)+(123.85*0.15)</f>
        <v>80.5025</v>
      </c>
      <c r="F37" s="16" t="n">
        <v>35.62</v>
      </c>
      <c r="G37" s="16" t="n">
        <f aca="false">F37*1.25</f>
        <v>44.525</v>
      </c>
      <c r="H37" s="16" t="n">
        <f aca="false">J37*0.6</f>
        <v>2150.799</v>
      </c>
      <c r="I37" s="16" t="n">
        <f aca="false">J37*0.4</f>
        <v>1433.866</v>
      </c>
      <c r="J37" s="16" t="n">
        <f aca="false">ROUND(E37,2)*(ROUND(G37,2))</f>
        <v>3584.665</v>
      </c>
    </row>
    <row r="38" customFormat="false" ht="13.8" hidden="false" customHeight="false" outlineLevel="0" collapsed="false">
      <c r="A38" s="18"/>
      <c r="B38" s="18"/>
      <c r="C38" s="18"/>
      <c r="D38" s="18"/>
      <c r="E38" s="18"/>
      <c r="F38" s="18"/>
      <c r="G38" s="18"/>
      <c r="H38" s="18"/>
      <c r="I38" s="19" t="s">
        <v>32</v>
      </c>
      <c r="J38" s="20" t="n">
        <f aca="false">SUM(J31:J37)</f>
        <v>44609.5226</v>
      </c>
    </row>
    <row r="39" customFormat="false" ht="13.8" hidden="false" customHeight="false" outlineLevel="0" collapsed="false">
      <c r="A39" s="11" t="s">
        <v>62</v>
      </c>
      <c r="B39" s="11"/>
      <c r="C39" s="11"/>
      <c r="D39" s="11"/>
      <c r="E39" s="11"/>
      <c r="F39" s="11"/>
      <c r="G39" s="11"/>
      <c r="H39" s="11"/>
      <c r="I39" s="11"/>
      <c r="J39" s="11"/>
    </row>
    <row r="40" customFormat="false" ht="53.7" hidden="false" customHeight="false" outlineLevel="0" collapsed="false">
      <c r="A40" s="13" t="n">
        <v>87505</v>
      </c>
      <c r="B40" s="21" t="s">
        <v>63</v>
      </c>
      <c r="C40" s="13" t="s">
        <v>64</v>
      </c>
      <c r="D40" s="14" t="s">
        <v>23</v>
      </c>
      <c r="E40" s="15" t="n">
        <f aca="false">115.6*2.5</f>
        <v>289</v>
      </c>
      <c r="F40" s="16" t="n">
        <v>69.28</v>
      </c>
      <c r="G40" s="16" t="n">
        <f aca="false">F40*1.25</f>
        <v>86.6</v>
      </c>
      <c r="H40" s="16" t="n">
        <f aca="false">J40*0.6</f>
        <v>15016.44</v>
      </c>
      <c r="I40" s="16" t="n">
        <f aca="false">J40*0.4</f>
        <v>10010.96</v>
      </c>
      <c r="J40" s="16" t="n">
        <f aca="false">ROUND(E40,2)*(ROUND(G40,2))</f>
        <v>25027.4</v>
      </c>
    </row>
    <row r="41" customFormat="false" ht="32.8" hidden="false" customHeight="false" outlineLevel="0" collapsed="false">
      <c r="A41" s="13" t="n">
        <v>102253</v>
      </c>
      <c r="B41" s="21" t="s">
        <v>65</v>
      </c>
      <c r="C41" s="13" t="s">
        <v>66</v>
      </c>
      <c r="D41" s="14" t="s">
        <v>23</v>
      </c>
      <c r="E41" s="15" t="n">
        <f aca="false">((2.45*2.1)+(1.2*2.1*4))*2</f>
        <v>30.45</v>
      </c>
      <c r="F41" s="16" t="n">
        <v>746.68</v>
      </c>
      <c r="G41" s="16" t="n">
        <f aca="false">F41*1.25</f>
        <v>933.35</v>
      </c>
      <c r="H41" s="16" t="n">
        <f aca="false">J41*0.6</f>
        <v>17052.3045</v>
      </c>
      <c r="I41" s="16" t="n">
        <f aca="false">J41*0.4</f>
        <v>11368.203</v>
      </c>
      <c r="J41" s="16" t="n">
        <f aca="false">ROUND(E41,2)*(ROUND(G41,2))</f>
        <v>28420.5075</v>
      </c>
    </row>
    <row r="42" customFormat="false" ht="13.8" hidden="false" customHeight="false" outlineLevel="0" collapsed="false">
      <c r="A42" s="18"/>
      <c r="B42" s="18"/>
      <c r="C42" s="18"/>
      <c r="D42" s="18"/>
      <c r="E42" s="18"/>
      <c r="F42" s="18"/>
      <c r="G42" s="18"/>
      <c r="H42" s="18"/>
      <c r="I42" s="19" t="s">
        <v>32</v>
      </c>
      <c r="J42" s="20" t="n">
        <f aca="false">SUM(J40:J41)</f>
        <v>53447.9075</v>
      </c>
    </row>
    <row r="43" customFormat="false" ht="13.8" hidden="false" customHeight="false" outlineLevel="0" collapsed="false">
      <c r="A43" s="11" t="s">
        <v>67</v>
      </c>
      <c r="B43" s="11"/>
      <c r="C43" s="11"/>
      <c r="D43" s="11"/>
      <c r="E43" s="11"/>
      <c r="F43" s="11"/>
      <c r="G43" s="11"/>
      <c r="H43" s="11"/>
      <c r="I43" s="11"/>
      <c r="J43" s="11"/>
    </row>
    <row r="44" customFormat="false" ht="13.8" hidden="false" customHeight="false" outlineLevel="0" collapsed="false">
      <c r="A44" s="23" t="s">
        <v>68</v>
      </c>
      <c r="B44" s="23"/>
      <c r="C44" s="23"/>
      <c r="D44" s="23"/>
      <c r="E44" s="23"/>
      <c r="F44" s="23"/>
      <c r="G44" s="23"/>
      <c r="H44" s="23"/>
      <c r="I44" s="23"/>
      <c r="J44" s="23"/>
    </row>
    <row r="45" customFormat="false" ht="43.25" hidden="false" customHeight="false" outlineLevel="0" collapsed="false">
      <c r="A45" s="24" t="n">
        <v>92778</v>
      </c>
      <c r="B45" s="24" t="s">
        <v>69</v>
      </c>
      <c r="C45" s="25" t="s">
        <v>70</v>
      </c>
      <c r="D45" s="15" t="s">
        <v>53</v>
      </c>
      <c r="E45" s="15" t="n">
        <f aca="false">(4*2.95*0.63*10)+(5*2.95*0.63*3)+(4*3.95*0.63*11)+(6*3.95*0.63*2)+(5*4.99*0.63*2)+(4*4.99*0.63*2)+(5*4.7*0.63)+(4*4.81*0.63)+(4*4.6*0.63)+(4*4.42*0.63*4)</f>
        <v>381.2319</v>
      </c>
      <c r="F45" s="16" t="n">
        <v>16.72</v>
      </c>
      <c r="G45" s="26" t="n">
        <f aca="false">F45*1.25</f>
        <v>20.9</v>
      </c>
      <c r="H45" s="26" t="n">
        <f aca="false">J45*0.6</f>
        <v>4780.6242</v>
      </c>
      <c r="I45" s="26" t="n">
        <f aca="false">J45*0.4</f>
        <v>3187.0828</v>
      </c>
      <c r="J45" s="16" t="n">
        <f aca="false">ROUND(E45,2)*(ROUND(G45,2))</f>
        <v>7967.707</v>
      </c>
    </row>
    <row r="46" customFormat="false" ht="43.25" hidden="false" customHeight="false" outlineLevel="0" collapsed="false">
      <c r="A46" s="24" t="n">
        <v>92775</v>
      </c>
      <c r="B46" s="24" t="s">
        <v>71</v>
      </c>
      <c r="C46" s="25" t="s">
        <v>72</v>
      </c>
      <c r="D46" s="15" t="s">
        <v>53</v>
      </c>
      <c r="E46" s="15" t="n">
        <f aca="false">((29.5/0.15)*0.53*0.16)+((8.85/0.15)*0.83*0.16)+((43.45/0.15)*0.53*0.16)+((7.9/0.15)*1.43*0.16)+((9.98/0.15)*0.83*0.16)+((9.98/0.15)*0.53*0.16)+((4.7/0.15)*0.83*0.16)+((4.81/0.15)*0.53*0.16)+((4.6/0.15)*0.53*0.16)+((17.68/0.15)*0.53*0.16)</f>
        <v>95.08</v>
      </c>
      <c r="F46" s="16" t="n">
        <v>20.25</v>
      </c>
      <c r="G46" s="26" t="n">
        <f aca="false">F46*1.25</f>
        <v>25.3125</v>
      </c>
      <c r="H46" s="26" t="n">
        <f aca="false">J46*0.6</f>
        <v>1443.88488</v>
      </c>
      <c r="I46" s="26" t="n">
        <f aca="false">J46*0.4</f>
        <v>962.58992</v>
      </c>
      <c r="J46" s="16" t="n">
        <f aca="false">ROUND(E46,2)*(ROUND(G46,2))</f>
        <v>2406.4748</v>
      </c>
    </row>
    <row r="47" customFormat="false" ht="32.8" hidden="false" customHeight="false" outlineLevel="0" collapsed="false">
      <c r="A47" s="24" t="n">
        <v>92263</v>
      </c>
      <c r="B47" s="24" t="s">
        <v>73</v>
      </c>
      <c r="C47" s="13" t="s">
        <v>74</v>
      </c>
      <c r="D47" s="15" t="s">
        <v>23</v>
      </c>
      <c r="E47" s="15" t="n">
        <f aca="false">(0.15*2.95*3*2)+(0.15*2.95*2*8)+((0.15*2.95*2*3)+(0.3*2.95*2*4))+(0.15*3.95*2*11)+((0.25*3.95*2*2)+(0.5*3.95*2*2))+((0.15*4.99)+(0.3*4.99*3))+(0.15*2.95*4*2)+((0.15*4.7*2)+(0.24*4.7))+(0.15*4.81*2)+(0.15*4.6*2)+(0.15*4.42*2*4)</f>
        <v>63.7995</v>
      </c>
      <c r="F47" s="16" t="n">
        <v>132.15</v>
      </c>
      <c r="G47" s="26" t="n">
        <f aca="false">F47*1.25</f>
        <v>165.1875</v>
      </c>
      <c r="H47" s="26" t="n">
        <f aca="false">J47*0.6</f>
        <v>6323.4732</v>
      </c>
      <c r="I47" s="26" t="n">
        <f aca="false">J47*0.4</f>
        <v>4215.6488</v>
      </c>
      <c r="J47" s="16" t="n">
        <f aca="false">ROUND(E47,2)*(ROUND(G47,2))</f>
        <v>10539.122</v>
      </c>
    </row>
    <row r="48" customFormat="false" ht="43.25" hidden="false" customHeight="false" outlineLevel="0" collapsed="false">
      <c r="A48" s="24" t="n">
        <v>92720</v>
      </c>
      <c r="B48" s="24" t="s">
        <v>75</v>
      </c>
      <c r="C48" s="13" t="s">
        <v>76</v>
      </c>
      <c r="D48" s="15" t="s">
        <v>41</v>
      </c>
      <c r="E48" s="15" t="n">
        <f aca="false">(0.15*0.15*2.95*10)+(0.15*0.3*2.95*3)+(0.15*0.15*3.95*11)+(0.25*0.5*3.95*2)+(0.15*0.3*4.99*2)+(0.15*0.15*4.99*2)+(0.15*0.24*4.7)+(0.15*0.15*4.81)+(0.15*0.15*4.6)+(0.15*0.15*4.42*4)</f>
        <v>4.4795</v>
      </c>
      <c r="F48" s="16" t="n">
        <v>473.36</v>
      </c>
      <c r="G48" s="26" t="n">
        <f aca="false">F48*1.25</f>
        <v>591.7</v>
      </c>
      <c r="H48" s="26" t="n">
        <f aca="false">J48*0.6</f>
        <v>1590.4896</v>
      </c>
      <c r="I48" s="26" t="n">
        <f aca="false">J48*0.4</f>
        <v>1060.3264</v>
      </c>
      <c r="J48" s="16" t="n">
        <f aca="false">ROUND(E48,2)*(ROUND(G48,2))</f>
        <v>2650.816</v>
      </c>
    </row>
    <row r="49" customFormat="false" ht="13.8" hidden="false" customHeight="false" outlineLevel="0" collapsed="false">
      <c r="A49" s="23" t="s">
        <v>77</v>
      </c>
      <c r="B49" s="23"/>
      <c r="C49" s="23"/>
      <c r="D49" s="23"/>
      <c r="E49" s="23"/>
      <c r="F49" s="23"/>
      <c r="G49" s="23"/>
      <c r="H49" s="23"/>
      <c r="I49" s="23"/>
      <c r="J49" s="23"/>
    </row>
    <row r="50" customFormat="false" ht="43.25" hidden="false" customHeight="false" outlineLevel="0" collapsed="false">
      <c r="A50" s="24" t="n">
        <v>92778</v>
      </c>
      <c r="B50" s="24" t="s">
        <v>78</v>
      </c>
      <c r="C50" s="25" t="s">
        <v>79</v>
      </c>
      <c r="D50" s="15" t="s">
        <v>53</v>
      </c>
      <c r="E50" s="15" t="n">
        <f aca="false">(4*2.8*0.63)+(4*2.8*0.63)+(4*2.8*0.63)+(4*2.8*0.63)+(4*2.8*0.63)+(6*5.6*0.63)+(4*2.8*0.63)+(4*3.05*0.63)+(4*2.48*0.63)+(4*3.05*0.63)+(6*4.75*0.63)+(6*5.6*0.63)+(6*4.75*0.63)+(4*2.38*0.63)+(4*2.37*0.63)+(4*1.8*0.63)+(4*2.15*0.63)+(4*1.8*0.63)+(4*2.8*0.63)+(4*2.8*0.63)+(4*4.41*0.63)+(4*3.15*0.63)+(4*3.05*0.63)+(5*4.41*0.63)+(5*3.15*0.63)+(5*1.25*0.63)+(5*1.8*0.63)+(4*2.1*0.63)+(4*4.5*0.63)+(5*1.2*0.63)+(5*4.5*0.63)+(5*2.49*0.63)+(5*1.65*0.63)+(5*2.49*0.63)+(5*4.4*0.63)+(5*1.8*0.63)+(4*1.65*0.63)+(4*1.65*0.63)+(4*2.85*0.63)+(4*2.85*0.63)+(4*3.32*0.63)+(4*3.31*0.63)+(4*3.1*0.63)+(4*3.1*0.63)</f>
        <v>372.9474</v>
      </c>
      <c r="F50" s="16" t="n">
        <v>16.72</v>
      </c>
      <c r="G50" s="26" t="n">
        <f aca="false">F50*1.25</f>
        <v>20.9</v>
      </c>
      <c r="H50" s="26" t="n">
        <f aca="false">J50*0.6</f>
        <v>4676.793</v>
      </c>
      <c r="I50" s="26" t="n">
        <f aca="false">J50*0.4</f>
        <v>3117.862</v>
      </c>
      <c r="J50" s="16" t="n">
        <f aca="false">ROUND(E50,2)*(ROUND(G50,2))</f>
        <v>7794.655</v>
      </c>
    </row>
    <row r="51" customFormat="false" ht="43.25" hidden="false" customHeight="false" outlineLevel="0" collapsed="false">
      <c r="A51" s="24" t="n">
        <v>92775</v>
      </c>
      <c r="B51" s="24" t="s">
        <v>80</v>
      </c>
      <c r="C51" s="25" t="s">
        <v>81</v>
      </c>
      <c r="D51" s="15" t="s">
        <v>53</v>
      </c>
      <c r="E51" s="15" t="n">
        <f aca="false">((23.08/0.15)*0.83*0.16)+((58.64/0.15)*0.97*0.16)+((29.14/0.15)*1.03*0.16)+((9.5/0.15)*1.23*0.16)+((11.2/0.15)*1.33*0.16)</f>
        <v>141.47456</v>
      </c>
      <c r="F51" s="16" t="n">
        <v>20.25</v>
      </c>
      <c r="G51" s="26" t="n">
        <f aca="false">F51*1.25</f>
        <v>25.3125</v>
      </c>
      <c r="H51" s="26" t="n">
        <f aca="false">J51*0.6</f>
        <v>2148.36342</v>
      </c>
      <c r="I51" s="26" t="n">
        <f aca="false">J51*0.4</f>
        <v>1432.24228</v>
      </c>
      <c r="J51" s="16" t="n">
        <f aca="false">ROUND(E51,2)*(ROUND(G51,2))</f>
        <v>3580.6057</v>
      </c>
    </row>
    <row r="52" customFormat="false" ht="22.35" hidden="false" customHeight="false" outlineLevel="0" collapsed="false">
      <c r="A52" s="24" t="n">
        <v>92265</v>
      </c>
      <c r="B52" s="24" t="s">
        <v>82</v>
      </c>
      <c r="C52" s="25" t="s">
        <v>83</v>
      </c>
      <c r="D52" s="15" t="s">
        <v>23</v>
      </c>
      <c r="E52" s="15" t="n">
        <f aca="false">(11.2*0.15)+(23.08*0.3*2)+(58.64*0.37*2)+(29.14*0.4*2)+(9.5*0.5*2)+(11.2*0.55*2)</f>
        <v>104.0536</v>
      </c>
      <c r="F52" s="16" t="n">
        <v>100.31</v>
      </c>
      <c r="G52" s="26" t="n">
        <f aca="false">F52*1.25</f>
        <v>125.3875</v>
      </c>
      <c r="H52" s="26" t="n">
        <f aca="false">J52*0.6</f>
        <v>7828.0977</v>
      </c>
      <c r="I52" s="26" t="n">
        <f aca="false">J52*0.4</f>
        <v>5218.7318</v>
      </c>
      <c r="J52" s="16" t="n">
        <f aca="false">ROUND(E52,2)*(ROUND(G52,2))</f>
        <v>13046.8295</v>
      </c>
    </row>
    <row r="53" customFormat="false" ht="32.8" hidden="false" customHeight="false" outlineLevel="0" collapsed="false">
      <c r="A53" s="24" t="n">
        <v>92723</v>
      </c>
      <c r="B53" s="24" t="s">
        <v>84</v>
      </c>
      <c r="C53" s="25" t="s">
        <v>85</v>
      </c>
      <c r="D53" s="15" t="s">
        <v>41</v>
      </c>
      <c r="E53" s="15" t="n">
        <f aca="false">(23.08*0.15*0.3)+(58.64*0.15*0.37)+(29.14*0.15*0.4)+(9.5*0.15*0.5)+(11.2*0.15*0.55)</f>
        <v>7.67802</v>
      </c>
      <c r="F53" s="16" t="n">
        <v>460.07</v>
      </c>
      <c r="G53" s="26" t="n">
        <f aca="false">F53*1.25</f>
        <v>575.0875</v>
      </c>
      <c r="H53" s="26" t="n">
        <f aca="false">J53*0.6</f>
        <v>2650.01472</v>
      </c>
      <c r="I53" s="26" t="n">
        <f aca="false">J53*0.4</f>
        <v>1766.67648</v>
      </c>
      <c r="J53" s="16" t="n">
        <f aca="false">ROUND(E53,2)*(ROUND(G53,2))</f>
        <v>4416.6912</v>
      </c>
    </row>
    <row r="54" customFormat="false" ht="13.8" hidden="false" customHeight="false" outlineLevel="0" collapsed="false">
      <c r="A54" s="23" t="s">
        <v>86</v>
      </c>
      <c r="B54" s="23"/>
      <c r="C54" s="23"/>
      <c r="D54" s="23"/>
      <c r="E54" s="23"/>
      <c r="F54" s="23"/>
      <c r="G54" s="23"/>
      <c r="H54" s="23"/>
      <c r="I54" s="23"/>
      <c r="J54" s="23"/>
    </row>
    <row r="55" customFormat="false" ht="43.25" hidden="false" customHeight="false" outlineLevel="0" collapsed="false">
      <c r="A55" s="13" t="n">
        <v>101964</v>
      </c>
      <c r="B55" s="21" t="s">
        <v>87</v>
      </c>
      <c r="C55" s="13" t="s">
        <v>88</v>
      </c>
      <c r="D55" s="14" t="s">
        <v>23</v>
      </c>
      <c r="E55" s="15" t="n">
        <f aca="false">2.79+11.54+30.24+5.3+14.73+1.58+2.55+14.73+32.97+19.92+13.8+13.34</f>
        <v>163.49</v>
      </c>
      <c r="F55" s="16" t="n">
        <v>143</v>
      </c>
      <c r="G55" s="16" t="n">
        <f aca="false">F55*1.25</f>
        <v>178.75</v>
      </c>
      <c r="H55" s="16" t="n">
        <f aca="false">J55*0.6</f>
        <v>17534.3025</v>
      </c>
      <c r="I55" s="16" t="n">
        <f aca="false">J55*0.4</f>
        <v>11689.535</v>
      </c>
      <c r="J55" s="16" t="n">
        <f aca="false">ROUND(E55,2)*(ROUND(G55,2))</f>
        <v>29223.8375</v>
      </c>
    </row>
    <row r="56" customFormat="false" ht="13.8" hidden="false" customHeight="false" outlineLevel="0" collapsed="false">
      <c r="A56" s="18"/>
      <c r="B56" s="18"/>
      <c r="C56" s="18"/>
      <c r="D56" s="18"/>
      <c r="E56" s="18"/>
      <c r="F56" s="18"/>
      <c r="G56" s="18"/>
      <c r="H56" s="18"/>
      <c r="I56" s="19" t="s">
        <v>32</v>
      </c>
      <c r="J56" s="20" t="n">
        <f aca="false">SUM(J45:J55)</f>
        <v>81626.7387</v>
      </c>
    </row>
    <row r="57" customFormat="false" ht="13.8" hidden="false" customHeight="false" outlineLevel="0" collapsed="false">
      <c r="A57" s="11" t="s">
        <v>89</v>
      </c>
      <c r="B57" s="11"/>
      <c r="C57" s="11"/>
      <c r="D57" s="11"/>
      <c r="E57" s="11"/>
      <c r="F57" s="11"/>
      <c r="G57" s="11"/>
      <c r="H57" s="11"/>
      <c r="I57" s="11"/>
      <c r="J57" s="11"/>
    </row>
    <row r="58" customFormat="false" ht="22.35" hidden="false" customHeight="false" outlineLevel="0" collapsed="false">
      <c r="A58" s="13" t="n">
        <v>93197</v>
      </c>
      <c r="B58" s="21" t="s">
        <v>90</v>
      </c>
      <c r="C58" s="13" t="s">
        <v>91</v>
      </c>
      <c r="D58" s="14" t="s">
        <v>38</v>
      </c>
      <c r="E58" s="15" t="n">
        <f aca="false">(2.4*9)+(2.2*2)</f>
        <v>26</v>
      </c>
      <c r="F58" s="16" t="n">
        <v>71.61</v>
      </c>
      <c r="G58" s="16" t="n">
        <f aca="false">F58*1.25</f>
        <v>89.5125</v>
      </c>
      <c r="H58" s="16" t="n">
        <f aca="false">J58*0.6</f>
        <v>1396.356</v>
      </c>
      <c r="I58" s="16" t="n">
        <f aca="false">J58*0.4</f>
        <v>930.904</v>
      </c>
      <c r="J58" s="16" t="n">
        <f aca="false">ROUND(E58,2)*(ROUND(G58,2))</f>
        <v>2327.26</v>
      </c>
    </row>
    <row r="59" customFormat="false" ht="22.35" hidden="false" customHeight="false" outlineLevel="0" collapsed="false">
      <c r="A59" s="13" t="n">
        <v>93188</v>
      </c>
      <c r="B59" s="21" t="s">
        <v>92</v>
      </c>
      <c r="C59" s="13" t="s">
        <v>93</v>
      </c>
      <c r="D59" s="14" t="s">
        <v>38</v>
      </c>
      <c r="E59" s="15" t="n">
        <f aca="false">1.3*8</f>
        <v>10.4</v>
      </c>
      <c r="F59" s="16" t="n">
        <v>60.34</v>
      </c>
      <c r="G59" s="16" t="n">
        <f aca="false">F59*1.25</f>
        <v>75.425</v>
      </c>
      <c r="H59" s="16" t="n">
        <f aca="false">J59*0.6</f>
        <v>470.6832</v>
      </c>
      <c r="I59" s="16" t="n">
        <f aca="false">J59*0.4</f>
        <v>313.7888</v>
      </c>
      <c r="J59" s="16" t="n">
        <f aca="false">ROUND(E59,2)*(ROUND(G59,2))</f>
        <v>784.472</v>
      </c>
    </row>
    <row r="60" customFormat="false" ht="43.25" hidden="false" customHeight="false" outlineLevel="0" collapsed="false">
      <c r="A60" s="13" t="n">
        <v>92775</v>
      </c>
      <c r="B60" s="21" t="s">
        <v>94</v>
      </c>
      <c r="C60" s="13" t="s">
        <v>81</v>
      </c>
      <c r="D60" s="13" t="s">
        <v>53</v>
      </c>
      <c r="E60" s="15" t="n">
        <f aca="false">((72.32/0.15)*0.53*0.16)</f>
        <v>40.8849066666667</v>
      </c>
      <c r="F60" s="16" t="n">
        <v>20.25</v>
      </c>
      <c r="G60" s="16" t="n">
        <f aca="false">F60*1.25</f>
        <v>25.3125</v>
      </c>
      <c r="H60" s="16" t="n">
        <f aca="false">J60*0.6</f>
        <v>620.80368</v>
      </c>
      <c r="I60" s="16" t="n">
        <f aca="false">J60*0.4</f>
        <v>413.86912</v>
      </c>
      <c r="J60" s="16" t="n">
        <f aca="false">ROUND(E60,2)*(ROUND(G60,2))</f>
        <v>1034.6728</v>
      </c>
    </row>
    <row r="61" customFormat="false" ht="13.8" hidden="false" customHeight="false" outlineLevel="0" collapsed="false">
      <c r="A61" s="18"/>
      <c r="B61" s="18"/>
      <c r="C61" s="18"/>
      <c r="D61" s="18"/>
      <c r="E61" s="18"/>
      <c r="F61" s="18"/>
      <c r="G61" s="18"/>
      <c r="H61" s="18"/>
      <c r="I61" s="19" t="s">
        <v>32</v>
      </c>
      <c r="J61" s="20" t="n">
        <f aca="false">SUM(J58:J60)</f>
        <v>4146.4048</v>
      </c>
    </row>
    <row r="62" customFormat="false" ht="13.8" hidden="false" customHeight="false" outlineLevel="0" collapsed="false">
      <c r="A62" s="11" t="s">
        <v>95</v>
      </c>
      <c r="B62" s="11"/>
      <c r="C62" s="11"/>
      <c r="D62" s="11"/>
      <c r="E62" s="11"/>
      <c r="F62" s="11"/>
      <c r="G62" s="11"/>
      <c r="H62" s="11"/>
      <c r="I62" s="11"/>
      <c r="J62" s="11"/>
    </row>
    <row r="63" customFormat="false" ht="13.8" hidden="false" customHeight="false" outlineLevel="0" collapsed="false">
      <c r="A63" s="23" t="s">
        <v>96</v>
      </c>
      <c r="B63" s="23"/>
      <c r="C63" s="23"/>
      <c r="D63" s="23"/>
      <c r="E63" s="23"/>
      <c r="F63" s="23"/>
      <c r="G63" s="23"/>
      <c r="H63" s="23"/>
      <c r="I63" s="23"/>
      <c r="J63" s="23"/>
    </row>
    <row r="64" customFormat="false" ht="22.35" hidden="false" customHeight="false" outlineLevel="0" collapsed="false">
      <c r="A64" s="21" t="n">
        <v>96526</v>
      </c>
      <c r="B64" s="13" t="s">
        <v>97</v>
      </c>
      <c r="C64" s="22" t="s">
        <v>40</v>
      </c>
      <c r="D64" s="14" t="s">
        <v>41</v>
      </c>
      <c r="E64" s="14" t="n">
        <f aca="false">(1.08*0.1*0.3)*3</f>
        <v>0.0972</v>
      </c>
      <c r="F64" s="16" t="n">
        <v>250.95</v>
      </c>
      <c r="G64" s="16" t="n">
        <f aca="false">F64*1.25</f>
        <v>313.6875</v>
      </c>
      <c r="H64" s="16" t="n">
        <f aca="false">J64*0.6</f>
        <v>18.8214</v>
      </c>
      <c r="I64" s="16" t="n">
        <f aca="false">J64*0.4</f>
        <v>12.5476</v>
      </c>
      <c r="J64" s="16" t="n">
        <f aca="false">ROUND(E64,2)*(ROUND(G64,2))</f>
        <v>31.369</v>
      </c>
    </row>
    <row r="65" customFormat="false" ht="43.25" hidden="false" customHeight="false" outlineLevel="0" collapsed="false">
      <c r="A65" s="21" t="n">
        <v>92777</v>
      </c>
      <c r="B65" s="13" t="s">
        <v>98</v>
      </c>
      <c r="C65" s="25" t="s">
        <v>99</v>
      </c>
      <c r="D65" s="15" t="s">
        <v>53</v>
      </c>
      <c r="E65" s="15" t="n">
        <f aca="false">(5*3.95*0.4)*3</f>
        <v>23.7</v>
      </c>
      <c r="F65" s="16" t="n">
        <v>18.57</v>
      </c>
      <c r="G65" s="16" t="n">
        <f aca="false">F65*1.25</f>
        <v>23.2125</v>
      </c>
      <c r="H65" s="26" t="n">
        <f aca="false">J65*0.6</f>
        <v>330.0462</v>
      </c>
      <c r="I65" s="26" t="n">
        <f aca="false">J65*0.4</f>
        <v>220.0308</v>
      </c>
      <c r="J65" s="16" t="n">
        <f aca="false">ROUND(E65,2)*(ROUND(G65,2))</f>
        <v>550.077</v>
      </c>
    </row>
    <row r="66" customFormat="false" ht="43.25" hidden="false" customHeight="false" outlineLevel="0" collapsed="false">
      <c r="A66" s="24" t="n">
        <v>92775</v>
      </c>
      <c r="B66" s="13" t="s">
        <v>100</v>
      </c>
      <c r="C66" s="25" t="s">
        <v>72</v>
      </c>
      <c r="D66" s="15" t="s">
        <v>53</v>
      </c>
      <c r="E66" s="15" t="n">
        <f aca="false">((3.95/0.15)*2.29*0.16)*3</f>
        <v>28.9456</v>
      </c>
      <c r="F66" s="16" t="n">
        <v>20.25</v>
      </c>
      <c r="G66" s="16" t="n">
        <f aca="false">F66*1.25</f>
        <v>25.3125</v>
      </c>
      <c r="H66" s="26" t="n">
        <f aca="false">J66*0.6</f>
        <v>439.6347</v>
      </c>
      <c r="I66" s="26" t="n">
        <f aca="false">J66*0.4</f>
        <v>293.0898</v>
      </c>
      <c r="J66" s="16" t="n">
        <f aca="false">ROUND(E66,2)*(ROUND(G66,2))</f>
        <v>732.7245</v>
      </c>
    </row>
    <row r="67" customFormat="false" ht="32.8" hidden="false" customHeight="false" outlineLevel="0" collapsed="false">
      <c r="A67" s="24" t="n">
        <v>92263</v>
      </c>
      <c r="B67" s="13" t="s">
        <v>101</v>
      </c>
      <c r="C67" s="13" t="s">
        <v>74</v>
      </c>
      <c r="D67" s="15" t="s">
        <v>23</v>
      </c>
      <c r="E67" s="15" t="n">
        <f aca="false">(0.1*3.95*6)+(1.08*3.95*3)</f>
        <v>15.168</v>
      </c>
      <c r="F67" s="16" t="n">
        <v>132.15</v>
      </c>
      <c r="G67" s="16" t="n">
        <f aca="false">F67*1.25</f>
        <v>165.1875</v>
      </c>
      <c r="H67" s="26" t="n">
        <f aca="false">J67*0.6</f>
        <v>1503.55938</v>
      </c>
      <c r="I67" s="26" t="n">
        <f aca="false">J67*0.4</f>
        <v>1002.37292</v>
      </c>
      <c r="J67" s="16" t="n">
        <f aca="false">ROUND(E67,2)*(ROUND(G67,2))</f>
        <v>2505.9323</v>
      </c>
    </row>
    <row r="68" customFormat="false" ht="43.25" hidden="false" customHeight="false" outlineLevel="0" collapsed="false">
      <c r="A68" s="24" t="n">
        <v>92718</v>
      </c>
      <c r="B68" s="13" t="s">
        <v>102</v>
      </c>
      <c r="C68" s="13" t="s">
        <v>103</v>
      </c>
      <c r="D68" s="15" t="s">
        <v>41</v>
      </c>
      <c r="E68" s="15" t="n">
        <f aca="false">0.1*1.08*3.95*3</f>
        <v>1.2798</v>
      </c>
      <c r="F68" s="16" t="n">
        <v>588.54</v>
      </c>
      <c r="G68" s="16" t="n">
        <f aca="false">F68*1.25</f>
        <v>735.675</v>
      </c>
      <c r="H68" s="26" t="n">
        <f aca="false">J68*0.6</f>
        <v>565.00224</v>
      </c>
      <c r="I68" s="26" t="n">
        <f aca="false">J68*0.4</f>
        <v>376.66816</v>
      </c>
      <c r="J68" s="16" t="n">
        <f aca="false">ROUND(E68,2)*(ROUND(G68,2))</f>
        <v>941.6704</v>
      </c>
    </row>
    <row r="69" customFormat="false" ht="13.8" hidden="false" customHeight="false" outlineLevel="0" collapsed="false">
      <c r="A69" s="23" t="s">
        <v>104</v>
      </c>
      <c r="B69" s="23"/>
      <c r="C69" s="23"/>
      <c r="D69" s="23"/>
      <c r="E69" s="23"/>
      <c r="F69" s="23"/>
      <c r="G69" s="23"/>
      <c r="H69" s="23"/>
      <c r="I69" s="23"/>
      <c r="J69" s="23"/>
    </row>
    <row r="70" customFormat="false" ht="43.25" hidden="false" customHeight="false" outlineLevel="0" collapsed="false">
      <c r="A70" s="21" t="n">
        <v>92777</v>
      </c>
      <c r="B70" s="13" t="s">
        <v>105</v>
      </c>
      <c r="C70" s="25" t="s">
        <v>106</v>
      </c>
      <c r="D70" s="15" t="s">
        <v>53</v>
      </c>
      <c r="E70" s="15" t="n">
        <f aca="false">(2*4.4*0.4*2)+(2*1.7*0.4*2)</f>
        <v>9.76</v>
      </c>
      <c r="F70" s="16" t="n">
        <v>18.57</v>
      </c>
      <c r="G70" s="26" t="n">
        <f aca="false">F70*1.25</f>
        <v>23.2125</v>
      </c>
      <c r="H70" s="26" t="n">
        <f aca="false">J70*0.6</f>
        <v>135.91776</v>
      </c>
      <c r="I70" s="26" t="n">
        <f aca="false">J70*0.4</f>
        <v>90.61184</v>
      </c>
      <c r="J70" s="16" t="n">
        <f aca="false">ROUND(E70,2)*(ROUND(G70,2))</f>
        <v>226.5296</v>
      </c>
    </row>
    <row r="71" customFormat="false" ht="43.25" hidden="false" customHeight="false" outlineLevel="0" collapsed="false">
      <c r="A71" s="24" t="n">
        <v>92775</v>
      </c>
      <c r="B71" s="13" t="s">
        <v>107</v>
      </c>
      <c r="C71" s="25" t="s">
        <v>81</v>
      </c>
      <c r="D71" s="15" t="s">
        <v>53</v>
      </c>
      <c r="E71" s="15" t="n">
        <f aca="false">(12.2/0.15)*0.33*0.16</f>
        <v>4.2944</v>
      </c>
      <c r="F71" s="16" t="n">
        <v>20.25</v>
      </c>
      <c r="G71" s="26" t="n">
        <f aca="false">F71*1.25</f>
        <v>25.3125</v>
      </c>
      <c r="H71" s="26" t="n">
        <f aca="false">J71*0.6</f>
        <v>65.14794</v>
      </c>
      <c r="I71" s="26" t="n">
        <f aca="false">J71*0.4</f>
        <v>43.43196</v>
      </c>
      <c r="J71" s="16" t="n">
        <f aca="false">ROUND(E71,2)*(ROUND(G71,2))</f>
        <v>108.5799</v>
      </c>
    </row>
    <row r="72" customFormat="false" ht="27" hidden="false" customHeight="true" outlineLevel="0" collapsed="false">
      <c r="A72" s="24" t="n">
        <v>92265</v>
      </c>
      <c r="B72" s="13" t="s">
        <v>108</v>
      </c>
      <c r="C72" s="25" t="s">
        <v>83</v>
      </c>
      <c r="D72" s="15" t="s">
        <v>23</v>
      </c>
      <c r="E72" s="15" t="n">
        <f aca="false">(0.1*1.7*4)+(0.1*4.4*4)</f>
        <v>2.44</v>
      </c>
      <c r="F72" s="16" t="n">
        <v>100.31</v>
      </c>
      <c r="G72" s="26" t="n">
        <f aca="false">F72*1.25</f>
        <v>125.3875</v>
      </c>
      <c r="H72" s="26" t="n">
        <f aca="false">J72*0.6</f>
        <v>183.57096</v>
      </c>
      <c r="I72" s="26" t="n">
        <f aca="false">J72*0.4</f>
        <v>122.38064</v>
      </c>
      <c r="J72" s="16" t="n">
        <f aca="false">ROUND(E72,2)*(ROUND(G72,2))</f>
        <v>305.9516</v>
      </c>
    </row>
    <row r="73" customFormat="false" ht="32.8" hidden="false" customHeight="false" outlineLevel="0" collapsed="false">
      <c r="A73" s="24" t="n">
        <v>92723</v>
      </c>
      <c r="B73" s="13" t="s">
        <v>109</v>
      </c>
      <c r="C73" s="25" t="s">
        <v>85</v>
      </c>
      <c r="D73" s="15" t="s">
        <v>41</v>
      </c>
      <c r="E73" s="15" t="n">
        <f aca="false">(0.1*0.1*1.7*2)+(0.1*0.1*4.4*2)</f>
        <v>0.122</v>
      </c>
      <c r="F73" s="16" t="n">
        <v>460.07</v>
      </c>
      <c r="G73" s="26" t="n">
        <f aca="false">F73*1.25</f>
        <v>575.0875</v>
      </c>
      <c r="H73" s="26" t="n">
        <f aca="false">J73*0.6</f>
        <v>41.40648</v>
      </c>
      <c r="I73" s="26" t="n">
        <f aca="false">J73*0.4</f>
        <v>27.60432</v>
      </c>
      <c r="J73" s="16" t="n">
        <f aca="false">ROUND(E73,2)*(ROUND(G73,2))</f>
        <v>69.0108</v>
      </c>
    </row>
    <row r="74" customFormat="false" ht="13.8" hidden="false" customHeight="false" outlineLevel="0" collapsed="false">
      <c r="A74" s="23" t="s">
        <v>110</v>
      </c>
      <c r="B74" s="23"/>
      <c r="C74" s="23"/>
      <c r="D74" s="23"/>
      <c r="E74" s="23"/>
      <c r="F74" s="23"/>
      <c r="G74" s="23"/>
      <c r="H74" s="23"/>
      <c r="I74" s="23"/>
      <c r="J74" s="23"/>
    </row>
    <row r="75" customFormat="false" ht="43.25" hidden="false" customHeight="false" outlineLevel="0" collapsed="false">
      <c r="A75" s="21" t="n">
        <v>92777</v>
      </c>
      <c r="B75" s="13" t="s">
        <v>111</v>
      </c>
      <c r="C75" s="25" t="s">
        <v>106</v>
      </c>
      <c r="D75" s="15" t="s">
        <v>53</v>
      </c>
      <c r="E75" s="15" t="n">
        <f aca="false">5*5.75*0.4</f>
        <v>11.5</v>
      </c>
      <c r="F75" s="16" t="n">
        <v>18.57</v>
      </c>
      <c r="G75" s="26" t="n">
        <f aca="false">F75*1.25</f>
        <v>23.2125</v>
      </c>
      <c r="H75" s="26" t="n">
        <f aca="false">J75*0.6</f>
        <v>160.149</v>
      </c>
      <c r="I75" s="26" t="n">
        <f aca="false">J75*0.4</f>
        <v>106.766</v>
      </c>
      <c r="J75" s="16" t="n">
        <f aca="false">ROUND(E75,2)*(ROUND(G75,2))</f>
        <v>266.915</v>
      </c>
    </row>
    <row r="76" customFormat="false" ht="43.25" hidden="false" customHeight="false" outlineLevel="0" collapsed="false">
      <c r="A76" s="24" t="n">
        <v>92775</v>
      </c>
      <c r="B76" s="13" t="s">
        <v>112</v>
      </c>
      <c r="C76" s="25" t="s">
        <v>81</v>
      </c>
      <c r="D76" s="15" t="s">
        <v>53</v>
      </c>
      <c r="E76" s="15" t="n">
        <f aca="false">(5.75/0.15)*1.13*0.16</f>
        <v>6.93066666666667</v>
      </c>
      <c r="F76" s="16" t="n">
        <v>20.25</v>
      </c>
      <c r="G76" s="26" t="n">
        <f aca="false">F76*1.25</f>
        <v>25.3125</v>
      </c>
      <c r="H76" s="26" t="n">
        <f aca="false">J76*0.6</f>
        <v>105.23898</v>
      </c>
      <c r="I76" s="26" t="n">
        <f aca="false">J76*0.4</f>
        <v>70.15932</v>
      </c>
      <c r="J76" s="16" t="n">
        <f aca="false">ROUND(E76,2)*(ROUND(G76,2))</f>
        <v>175.3983</v>
      </c>
    </row>
    <row r="77" customFormat="false" ht="26.25" hidden="false" customHeight="true" outlineLevel="0" collapsed="false">
      <c r="A77" s="24" t="n">
        <v>92265</v>
      </c>
      <c r="B77" s="13" t="s">
        <v>113</v>
      </c>
      <c r="C77" s="25" t="s">
        <v>83</v>
      </c>
      <c r="D77" s="15" t="s">
        <v>23</v>
      </c>
      <c r="E77" s="15" t="n">
        <f aca="false">(0.1*0.5)+(0.5*5.75)</f>
        <v>2.925</v>
      </c>
      <c r="F77" s="16" t="n">
        <v>100.31</v>
      </c>
      <c r="G77" s="26" t="n">
        <f aca="false">F77*1.25</f>
        <v>125.3875</v>
      </c>
      <c r="H77" s="26" t="n">
        <f aca="false">J77*0.6</f>
        <v>220.43562</v>
      </c>
      <c r="I77" s="26" t="n">
        <f aca="false">J77*0.4</f>
        <v>146.95708</v>
      </c>
      <c r="J77" s="16" t="n">
        <f aca="false">ROUND(E77,2)*(ROUND(G77,2))</f>
        <v>367.3927</v>
      </c>
    </row>
    <row r="78" customFormat="false" ht="32.8" hidden="false" customHeight="false" outlineLevel="0" collapsed="false">
      <c r="A78" s="24" t="n">
        <v>92723</v>
      </c>
      <c r="B78" s="13" t="s">
        <v>114</v>
      </c>
      <c r="C78" s="25" t="s">
        <v>85</v>
      </c>
      <c r="D78" s="15" t="s">
        <v>41</v>
      </c>
      <c r="E78" s="15" t="n">
        <f aca="false">(0.1*0.5*5.75)</f>
        <v>0.2875</v>
      </c>
      <c r="F78" s="16" t="n">
        <v>460.07</v>
      </c>
      <c r="G78" s="26" t="n">
        <f aca="false">F78*1.25</f>
        <v>575.0875</v>
      </c>
      <c r="H78" s="26" t="n">
        <f aca="false">J78*0.6</f>
        <v>100.06566</v>
      </c>
      <c r="I78" s="26" t="n">
        <f aca="false">J78*0.4</f>
        <v>66.71044</v>
      </c>
      <c r="J78" s="16" t="n">
        <f aca="false">ROUND(E78,2)*(ROUND(G78,2))</f>
        <v>166.7761</v>
      </c>
    </row>
    <row r="79" customFormat="false" ht="13.8" hidden="false" customHeight="false" outlineLevel="0" collapsed="false">
      <c r="A79" s="18"/>
      <c r="B79" s="18"/>
      <c r="C79" s="18"/>
      <c r="D79" s="18"/>
      <c r="E79" s="18"/>
      <c r="F79" s="18"/>
      <c r="G79" s="18"/>
      <c r="H79" s="18"/>
      <c r="I79" s="19" t="s">
        <v>32</v>
      </c>
      <c r="J79" s="20" t="n">
        <f aca="false">SUM(J64:J78)</f>
        <v>6448.3272</v>
      </c>
    </row>
    <row r="80" customFormat="false" ht="13.8" hidden="false" customHeight="false" outlineLevel="0" collapsed="false">
      <c r="A80" s="11" t="s">
        <v>115</v>
      </c>
      <c r="B80" s="11"/>
      <c r="C80" s="11"/>
      <c r="D80" s="11"/>
      <c r="E80" s="11"/>
      <c r="F80" s="11"/>
      <c r="G80" s="11"/>
      <c r="H80" s="11"/>
      <c r="I80" s="11"/>
      <c r="J80" s="11"/>
    </row>
    <row r="81" customFormat="false" ht="53.7" hidden="false" customHeight="false" outlineLevel="0" collapsed="false">
      <c r="A81" s="13" t="n">
        <v>87505</v>
      </c>
      <c r="B81" s="21" t="s">
        <v>116</v>
      </c>
      <c r="C81" s="13" t="s">
        <v>64</v>
      </c>
      <c r="D81" s="14" t="s">
        <v>23</v>
      </c>
      <c r="E81" s="15" t="n">
        <f aca="false">(5.4*0.7)+(10.55*0.7)+(6.25*0.7)+(9.05*1.05)+(9.35*0.7)+(5.6*0.7)</f>
        <v>35.5075</v>
      </c>
      <c r="F81" s="16" t="n">
        <v>69.28</v>
      </c>
      <c r="G81" s="26" t="n">
        <f aca="false">F81*1.25</f>
        <v>86.6</v>
      </c>
      <c r="H81" s="16" t="n">
        <f aca="false">J81*0.6</f>
        <v>1845.0996</v>
      </c>
      <c r="I81" s="16" t="n">
        <f aca="false">J81*0.4</f>
        <v>1230.0664</v>
      </c>
      <c r="J81" s="16" t="n">
        <f aca="false">ROUND(E81,2)*(ROUND(G81,2))</f>
        <v>3075.166</v>
      </c>
      <c r="K81" s="27"/>
    </row>
    <row r="82" customFormat="false" ht="22.35" hidden="false" customHeight="false" outlineLevel="0" collapsed="false">
      <c r="A82" s="13" t="n">
        <v>93204</v>
      </c>
      <c r="B82" s="21" t="s">
        <v>117</v>
      </c>
      <c r="C82" s="13" t="s">
        <v>118</v>
      </c>
      <c r="D82" s="14" t="s">
        <v>38</v>
      </c>
      <c r="E82" s="15" t="n">
        <f aca="false">4.75+10.55+5.6+18.4+5.6</f>
        <v>44.9</v>
      </c>
      <c r="F82" s="16" t="n">
        <v>50.99</v>
      </c>
      <c r="G82" s="26" t="n">
        <f aca="false">F82*1.25</f>
        <v>63.7375</v>
      </c>
      <c r="H82" s="16" t="n">
        <f aca="false">J82*0.6</f>
        <v>1717.1556</v>
      </c>
      <c r="I82" s="16" t="n">
        <f aca="false">J82*0.4</f>
        <v>1144.7704</v>
      </c>
      <c r="J82" s="16" t="n">
        <f aca="false">ROUND(E82,2)*(ROUND(G82,2))</f>
        <v>2861.926</v>
      </c>
      <c r="K82" s="27"/>
    </row>
    <row r="83" customFormat="false" ht="43.25" hidden="false" customHeight="false" outlineLevel="0" collapsed="false">
      <c r="A83" s="13" t="n">
        <v>92775</v>
      </c>
      <c r="B83" s="21" t="s">
        <v>119</v>
      </c>
      <c r="C83" s="13" t="s">
        <v>81</v>
      </c>
      <c r="D83" s="13" t="s">
        <v>53</v>
      </c>
      <c r="E83" s="15" t="n">
        <f aca="false">(44.9/0.15)*0.83*0.16</f>
        <v>39.7514666666667</v>
      </c>
      <c r="F83" s="16" t="n">
        <v>20.25</v>
      </c>
      <c r="G83" s="26" t="n">
        <f aca="false">F83*1.25</f>
        <v>25.3125</v>
      </c>
      <c r="H83" s="16" t="n">
        <f aca="false">J83*0.6</f>
        <v>603.6435</v>
      </c>
      <c r="I83" s="16" t="n">
        <f aca="false">J83*0.4</f>
        <v>402.429</v>
      </c>
      <c r="J83" s="16" t="n">
        <f aca="false">ROUND(E83,2)*(ROUND(G83,2))</f>
        <v>1006.0725</v>
      </c>
    </row>
    <row r="84" customFormat="false" ht="13.8" hidden="false" customHeight="false" outlineLevel="0" collapsed="false">
      <c r="A84" s="18"/>
      <c r="B84" s="18"/>
      <c r="C84" s="18"/>
      <c r="D84" s="18"/>
      <c r="E84" s="18"/>
      <c r="F84" s="18"/>
      <c r="G84" s="18"/>
      <c r="H84" s="18"/>
      <c r="I84" s="19" t="s">
        <v>32</v>
      </c>
      <c r="J84" s="20" t="n">
        <f aca="false">SUM(J81:J83)</f>
        <v>6943.1645</v>
      </c>
    </row>
    <row r="85" customFormat="false" ht="13.8" hidden="false" customHeight="false" outlineLevel="0" collapsed="false">
      <c r="A85" s="11" t="s">
        <v>120</v>
      </c>
      <c r="B85" s="11"/>
      <c r="C85" s="11"/>
      <c r="D85" s="11"/>
      <c r="E85" s="11"/>
      <c r="F85" s="11"/>
      <c r="G85" s="11"/>
      <c r="H85" s="11"/>
      <c r="I85" s="11"/>
      <c r="J85" s="11"/>
    </row>
    <row r="86" customFormat="false" ht="43.25" hidden="false" customHeight="false" outlineLevel="0" collapsed="false">
      <c r="A86" s="13" t="n">
        <v>92778</v>
      </c>
      <c r="B86" s="13" t="s">
        <v>121</v>
      </c>
      <c r="C86" s="13" t="s">
        <v>79</v>
      </c>
      <c r="D86" s="13" t="s">
        <v>53</v>
      </c>
      <c r="E86" s="13" t="n">
        <f aca="false">(4*2.95*0.63)+(4*2.8*0.63)+(6*5.75*0.63)+(4*1.8*0.63)+(4*2.15*0.63)+(4*1.8*0.63)+(5*4.41*0.63)+(5*3.15*0.63)+(5*1.25*0.63)+(5*2*0.63)+(5*2.49*0.63)+(5*4.4*0.63)</f>
        <v>106.47</v>
      </c>
      <c r="F86" s="16" t="n">
        <v>16.72</v>
      </c>
      <c r="G86" s="26" t="n">
        <f aca="false">F86*1.25</f>
        <v>20.9</v>
      </c>
      <c r="H86" s="26" t="n">
        <f aca="false">J86*0.6</f>
        <v>1335.1338</v>
      </c>
      <c r="I86" s="26" t="n">
        <f aca="false">J86*0.4</f>
        <v>890.0892</v>
      </c>
      <c r="J86" s="16" t="n">
        <f aca="false">ROUND(E86,2)*(ROUND(G86,2))</f>
        <v>2225.223</v>
      </c>
    </row>
    <row r="87" customFormat="false" ht="43.25" hidden="false" customHeight="false" outlineLevel="0" collapsed="false">
      <c r="A87" s="24" t="n">
        <v>92775</v>
      </c>
      <c r="B87" s="13" t="s">
        <v>122</v>
      </c>
      <c r="C87" s="25" t="s">
        <v>81</v>
      </c>
      <c r="D87" s="15" t="s">
        <v>53</v>
      </c>
      <c r="E87" s="15" t="n">
        <f aca="false">((11.5/0.15)*0.83*0.16)+((17.7/0.15)*1.03*0.16)</f>
        <v>29.6277333333333</v>
      </c>
      <c r="F87" s="16" t="n">
        <v>20.25</v>
      </c>
      <c r="G87" s="26" t="n">
        <f aca="false">F87*1.25</f>
        <v>25.3125</v>
      </c>
      <c r="H87" s="26" t="n">
        <f aca="false">J87*0.6</f>
        <v>449.96118</v>
      </c>
      <c r="I87" s="26" t="n">
        <f aca="false">J87*0.4</f>
        <v>299.97412</v>
      </c>
      <c r="J87" s="16" t="n">
        <f aca="false">ROUND(E87,2)*(ROUND(G87,2))</f>
        <v>749.9353</v>
      </c>
    </row>
    <row r="88" customFormat="false" ht="29.25" hidden="false" customHeight="true" outlineLevel="0" collapsed="false">
      <c r="A88" s="24" t="n">
        <v>92265</v>
      </c>
      <c r="B88" s="13" t="s">
        <v>123</v>
      </c>
      <c r="C88" s="25" t="s">
        <v>83</v>
      </c>
      <c r="D88" s="15" t="s">
        <v>23</v>
      </c>
      <c r="E88" s="15" t="n">
        <f aca="false">(11.5*0.3*2)+(17.7*0.4*2)</f>
        <v>21.06</v>
      </c>
      <c r="F88" s="16" t="n">
        <v>100.31</v>
      </c>
      <c r="G88" s="26" t="n">
        <f aca="false">F88*1.25</f>
        <v>125.3875</v>
      </c>
      <c r="H88" s="26" t="n">
        <f aca="false">J88*0.6</f>
        <v>1584.42804</v>
      </c>
      <c r="I88" s="26" t="n">
        <f aca="false">J88*0.4</f>
        <v>1056.28536</v>
      </c>
      <c r="J88" s="16" t="n">
        <f aca="false">ROUND(E88,2)*(ROUND(G88,2))</f>
        <v>2640.7134</v>
      </c>
    </row>
    <row r="89" customFormat="false" ht="32.8" hidden="false" customHeight="false" outlineLevel="0" collapsed="false">
      <c r="A89" s="24" t="n">
        <v>92723</v>
      </c>
      <c r="B89" s="13" t="s">
        <v>124</v>
      </c>
      <c r="C89" s="28" t="s">
        <v>85</v>
      </c>
      <c r="D89" s="15" t="s">
        <v>41</v>
      </c>
      <c r="E89" s="15" t="n">
        <f aca="false">(11.5*0.15*0.3)+(17.7*0.15*0.4)</f>
        <v>1.5795</v>
      </c>
      <c r="F89" s="16" t="n">
        <v>460.07</v>
      </c>
      <c r="G89" s="26" t="n">
        <f aca="false">F89*1.25</f>
        <v>575.0875</v>
      </c>
      <c r="H89" s="26" t="n">
        <f aca="false">J89*0.6</f>
        <v>545.18532</v>
      </c>
      <c r="I89" s="26" t="n">
        <f aca="false">J89*0.4</f>
        <v>363.45688</v>
      </c>
      <c r="J89" s="16" t="n">
        <f aca="false">ROUND(E89,2)*(ROUND(G89,2))</f>
        <v>908.6422</v>
      </c>
    </row>
    <row r="90" customFormat="false" ht="53.7" hidden="false" customHeight="false" outlineLevel="0" collapsed="false">
      <c r="A90" s="13" t="n">
        <v>87505</v>
      </c>
      <c r="B90" s="13" t="s">
        <v>125</v>
      </c>
      <c r="C90" s="13" t="s">
        <v>64</v>
      </c>
      <c r="D90" s="14" t="s">
        <v>23</v>
      </c>
      <c r="E90" s="16" t="n">
        <f aca="false">(1.18+1.1)*0.63</f>
        <v>1.4364</v>
      </c>
      <c r="F90" s="16" t="n">
        <v>69.28</v>
      </c>
      <c r="G90" s="26" t="n">
        <f aca="false">F90*1.25</f>
        <v>86.6</v>
      </c>
      <c r="H90" s="26" t="n">
        <f aca="false">J90*0.6</f>
        <v>74.8224</v>
      </c>
      <c r="I90" s="26" t="n">
        <f aca="false">J90*0.4</f>
        <v>49.8816</v>
      </c>
      <c r="J90" s="16" t="n">
        <f aca="false">ROUND(E90,2)*(ROUND(G90,2))</f>
        <v>124.704</v>
      </c>
    </row>
    <row r="91" customFormat="false" ht="43.25" hidden="false" customHeight="false" outlineLevel="0" collapsed="false">
      <c r="A91" s="13" t="n">
        <v>101964</v>
      </c>
      <c r="B91" s="13" t="s">
        <v>126</v>
      </c>
      <c r="C91" s="13" t="s">
        <v>127</v>
      </c>
      <c r="D91" s="14" t="s">
        <v>23</v>
      </c>
      <c r="E91" s="15" t="n">
        <v>62.33</v>
      </c>
      <c r="F91" s="16" t="n">
        <v>143</v>
      </c>
      <c r="G91" s="26" t="n">
        <f aca="false">F91*1.25</f>
        <v>178.75</v>
      </c>
      <c r="H91" s="26" t="n">
        <f aca="false">J91*0.6</f>
        <v>6684.8925</v>
      </c>
      <c r="I91" s="26" t="n">
        <f aca="false">J91*0.4</f>
        <v>4456.595</v>
      </c>
      <c r="J91" s="16" t="n">
        <f aca="false">ROUND(E91,2)*(ROUND(G91,2))</f>
        <v>11141.4875</v>
      </c>
    </row>
    <row r="92" customFormat="false" ht="32.8" hidden="false" customHeight="false" outlineLevel="0" collapsed="false">
      <c r="A92" s="13" t="n">
        <v>98546</v>
      </c>
      <c r="B92" s="13" t="s">
        <v>128</v>
      </c>
      <c r="C92" s="13" t="s">
        <v>129</v>
      </c>
      <c r="D92" s="14" t="s">
        <v>23</v>
      </c>
      <c r="E92" s="15" t="n">
        <v>62.33</v>
      </c>
      <c r="F92" s="16" t="n">
        <v>89.48</v>
      </c>
      <c r="G92" s="26" t="n">
        <f aca="false">F92*1.25</f>
        <v>111.85</v>
      </c>
      <c r="H92" s="26" t="n">
        <f aca="false">J92*0.6</f>
        <v>4182.9663</v>
      </c>
      <c r="I92" s="26" t="n">
        <f aca="false">J92*0.4</f>
        <v>2788.6442</v>
      </c>
      <c r="J92" s="16" t="n">
        <f aca="false">ROUND(E92,2)*(ROUND(G92,2))</f>
        <v>6971.6105</v>
      </c>
    </row>
    <row r="93" customFormat="false" ht="32.8" hidden="false" customHeight="false" outlineLevel="0" collapsed="false">
      <c r="A93" s="13" t="n">
        <v>100327</v>
      </c>
      <c r="B93" s="13" t="s">
        <v>130</v>
      </c>
      <c r="C93" s="13" t="s">
        <v>131</v>
      </c>
      <c r="D93" s="14" t="s">
        <v>38</v>
      </c>
      <c r="E93" s="15" t="n">
        <f aca="false">5.4+10.7+6.25+18.7+6.25+1.8+1.8+4.1</f>
        <v>55</v>
      </c>
      <c r="F93" s="16" t="n">
        <v>68.88</v>
      </c>
      <c r="G93" s="26" t="n">
        <f aca="false">F93*1.25</f>
        <v>86.1</v>
      </c>
      <c r="H93" s="26" t="n">
        <f aca="false">J93*0.6</f>
        <v>2841.3</v>
      </c>
      <c r="I93" s="26" t="n">
        <f aca="false">J93*0.4</f>
        <v>1894.2</v>
      </c>
      <c r="J93" s="16" t="n">
        <f aca="false">ROUND(E93,2)*(ROUND(G93,2))</f>
        <v>4735.5</v>
      </c>
    </row>
    <row r="94" customFormat="false" ht="43.25" hidden="false" customHeight="false" outlineLevel="0" collapsed="false">
      <c r="A94" s="13" t="n">
        <v>94569</v>
      </c>
      <c r="B94" s="13" t="s">
        <v>132</v>
      </c>
      <c r="C94" s="13" t="s">
        <v>133</v>
      </c>
      <c r="D94" s="14" t="s">
        <v>23</v>
      </c>
      <c r="E94" s="15" t="n">
        <f aca="false">(1*0.63)+(1.02*0.63)+(1*0.63)</f>
        <v>1.9026</v>
      </c>
      <c r="F94" s="16" t="n">
        <v>535.56</v>
      </c>
      <c r="G94" s="26" t="n">
        <f aca="false">F94*1.25</f>
        <v>669.45</v>
      </c>
      <c r="H94" s="26" t="n">
        <f aca="false">J94*0.6</f>
        <v>763.173</v>
      </c>
      <c r="I94" s="26" t="n">
        <f aca="false">J94*0.4</f>
        <v>508.782</v>
      </c>
      <c r="J94" s="16" t="n">
        <f aca="false">ROUND(E94,2)*(ROUND(G94,2))</f>
        <v>1271.955</v>
      </c>
    </row>
    <row r="95" customFormat="false" ht="43.25" hidden="false" customHeight="false" outlineLevel="0" collapsed="false">
      <c r="A95" s="13" t="n">
        <v>92606</v>
      </c>
      <c r="B95" s="13" t="s">
        <v>134</v>
      </c>
      <c r="C95" s="13" t="s">
        <v>135</v>
      </c>
      <c r="D95" s="14" t="s">
        <v>27</v>
      </c>
      <c r="E95" s="15" t="n">
        <v>4</v>
      </c>
      <c r="F95" s="16" t="n">
        <v>1229.2</v>
      </c>
      <c r="G95" s="26" t="n">
        <f aca="false">F95*1.25</f>
        <v>1536.5</v>
      </c>
      <c r="H95" s="26" t="n">
        <f aca="false">J95*0.6</f>
        <v>3687.6</v>
      </c>
      <c r="I95" s="26" t="n">
        <f aca="false">J95*0.4</f>
        <v>2458.4</v>
      </c>
      <c r="J95" s="16" t="n">
        <f aca="false">ROUND(E95,2)*(ROUND(G95,2))</f>
        <v>6146</v>
      </c>
    </row>
    <row r="96" customFormat="false" ht="43.25" hidden="false" customHeight="false" outlineLevel="0" collapsed="false">
      <c r="A96" s="13" t="n">
        <v>92608</v>
      </c>
      <c r="B96" s="13" t="s">
        <v>136</v>
      </c>
      <c r="C96" s="13" t="s">
        <v>137</v>
      </c>
      <c r="D96" s="14" t="s">
        <v>27</v>
      </c>
      <c r="E96" s="15" t="n">
        <v>6</v>
      </c>
      <c r="F96" s="16" t="n">
        <v>1516.09</v>
      </c>
      <c r="G96" s="26" t="n">
        <f aca="false">F96*1.25</f>
        <v>1895.1125</v>
      </c>
      <c r="H96" s="26" t="n">
        <f aca="false">J96*0.6</f>
        <v>6822.396</v>
      </c>
      <c r="I96" s="26" t="n">
        <f aca="false">J96*0.4</f>
        <v>4548.264</v>
      </c>
      <c r="J96" s="16" t="n">
        <f aca="false">ROUND(E96,2)*(ROUND(G96,2))</f>
        <v>11370.66</v>
      </c>
    </row>
    <row r="97" customFormat="false" ht="53.7" hidden="false" customHeight="false" outlineLevel="0" collapsed="false">
      <c r="A97" s="13" t="n">
        <v>92580</v>
      </c>
      <c r="B97" s="13" t="s">
        <v>138</v>
      </c>
      <c r="C97" s="13" t="s">
        <v>139</v>
      </c>
      <c r="D97" s="14" t="s">
        <v>23</v>
      </c>
      <c r="E97" s="15" t="n">
        <f aca="false">55.28+102.93+9.27</f>
        <v>167.48</v>
      </c>
      <c r="F97" s="16" t="n">
        <v>65.8</v>
      </c>
      <c r="G97" s="26" t="n">
        <f aca="false">F97*1.25</f>
        <v>82.25</v>
      </c>
      <c r="H97" s="26" t="n">
        <f aca="false">J97*0.6</f>
        <v>8265.138</v>
      </c>
      <c r="I97" s="26" t="n">
        <f aca="false">J97*0.4</f>
        <v>5510.092</v>
      </c>
      <c r="J97" s="16" t="n">
        <f aca="false">ROUND(E97,2)*(ROUND(G97,2))</f>
        <v>13775.23</v>
      </c>
    </row>
    <row r="98" customFormat="false" ht="22.35" hidden="false" customHeight="false" outlineLevel="0" collapsed="false">
      <c r="A98" s="13" t="n">
        <v>94213</v>
      </c>
      <c r="B98" s="13" t="s">
        <v>140</v>
      </c>
      <c r="C98" s="13" t="s">
        <v>141</v>
      </c>
      <c r="D98" s="14" t="s">
        <v>23</v>
      </c>
      <c r="E98" s="15" t="n">
        <f aca="false">E97</f>
        <v>167.48</v>
      </c>
      <c r="F98" s="16" t="n">
        <v>98.82</v>
      </c>
      <c r="G98" s="26" t="n">
        <f aca="false">F98*1.25</f>
        <v>123.525</v>
      </c>
      <c r="H98" s="26" t="n">
        <f aca="false">J98*0.6</f>
        <v>12413.28264</v>
      </c>
      <c r="I98" s="26" t="n">
        <f aca="false">J98*0.4</f>
        <v>8275.52176</v>
      </c>
      <c r="J98" s="16" t="n">
        <f aca="false">ROUND(E98,2)*(ROUND(G98,2))</f>
        <v>20688.8044</v>
      </c>
    </row>
    <row r="99" customFormat="false" ht="13.8" hidden="false" customHeight="false" outlineLevel="0" collapsed="false">
      <c r="A99" s="18"/>
      <c r="B99" s="18"/>
      <c r="C99" s="18"/>
      <c r="D99" s="18"/>
      <c r="E99" s="18"/>
      <c r="F99" s="18"/>
      <c r="G99" s="18"/>
      <c r="H99" s="18"/>
      <c r="I99" s="19" t="s">
        <v>32</v>
      </c>
      <c r="J99" s="20" t="n">
        <f aca="false">SUM(J86:J98)</f>
        <v>82750.4653</v>
      </c>
    </row>
    <row r="100" customFormat="false" ht="13.8" hidden="false" customHeight="false" outlineLevel="0" collapsed="false">
      <c r="A100" s="11" t="s">
        <v>142</v>
      </c>
      <c r="B100" s="11"/>
      <c r="C100" s="11"/>
      <c r="D100" s="11"/>
      <c r="E100" s="11"/>
      <c r="F100" s="11"/>
      <c r="G100" s="11"/>
      <c r="H100" s="11"/>
      <c r="I100" s="11"/>
      <c r="J100" s="11"/>
    </row>
    <row r="101" customFormat="false" ht="22.35" hidden="false" customHeight="false" outlineLevel="0" collapsed="false">
      <c r="A101" s="13" t="n">
        <v>96622</v>
      </c>
      <c r="B101" s="13" t="s">
        <v>143</v>
      </c>
      <c r="C101" s="13" t="s">
        <v>144</v>
      </c>
      <c r="D101" s="14" t="s">
        <v>41</v>
      </c>
      <c r="E101" s="15" t="n">
        <f aca="false">(3.36+18.21+30.25+14.73+2.5+14.73+1.8+49.75+19.92+13.8+13.34+32.99+5.6)*0.05</f>
        <v>11.049</v>
      </c>
      <c r="F101" s="16" t="n">
        <v>96.33</v>
      </c>
      <c r="G101" s="16" t="n">
        <f aca="false">F101*1.25</f>
        <v>120.4125</v>
      </c>
      <c r="H101" s="16" t="n">
        <f aca="false">J101*0.6</f>
        <v>798.3183</v>
      </c>
      <c r="I101" s="16" t="n">
        <f aca="false">J101*0.4</f>
        <v>532.2122</v>
      </c>
      <c r="J101" s="16" t="n">
        <f aca="false">ROUND(E101,2)*(ROUND(G101,2))</f>
        <v>1330.5305</v>
      </c>
    </row>
    <row r="102" customFormat="false" ht="32.8" hidden="false" customHeight="false" outlineLevel="0" collapsed="false">
      <c r="A102" s="13" t="n">
        <v>87630</v>
      </c>
      <c r="B102" s="13" t="s">
        <v>145</v>
      </c>
      <c r="C102" s="13" t="s">
        <v>146</v>
      </c>
      <c r="D102" s="14" t="s">
        <v>23</v>
      </c>
      <c r="E102" s="15" t="n">
        <f aca="false">3.36+18.21+30.25+14.73+2.5+14.73+1.8+49.75+19.92+13.8+13.34+32.99+5.6</f>
        <v>220.98</v>
      </c>
      <c r="F102" s="16" t="n">
        <v>32.17</v>
      </c>
      <c r="G102" s="16" t="n">
        <f aca="false">F102*1.25</f>
        <v>40.2125</v>
      </c>
      <c r="H102" s="16" t="n">
        <f aca="false">J102*0.6</f>
        <v>5331.36348</v>
      </c>
      <c r="I102" s="16" t="n">
        <f aca="false">J102*0.4</f>
        <v>3554.24232</v>
      </c>
      <c r="J102" s="16" t="n">
        <f aca="false">ROUND(E102,2)*(ROUND(G102,2))</f>
        <v>8885.6058</v>
      </c>
    </row>
    <row r="103" customFormat="false" ht="22.35" hidden="false" customHeight="false" outlineLevel="0" collapsed="false">
      <c r="A103" s="13" t="n">
        <v>88476</v>
      </c>
      <c r="B103" s="13" t="s">
        <v>147</v>
      </c>
      <c r="C103" s="13" t="s">
        <v>148</v>
      </c>
      <c r="D103" s="14" t="s">
        <v>23</v>
      </c>
      <c r="E103" s="15" t="n">
        <f aca="false">E102</f>
        <v>220.98</v>
      </c>
      <c r="F103" s="16" t="n">
        <v>16.59</v>
      </c>
      <c r="G103" s="16" t="n">
        <f aca="false">F103*1.25</f>
        <v>20.7375</v>
      </c>
      <c r="H103" s="16" t="n">
        <f aca="false">J103*0.6</f>
        <v>2749.87512</v>
      </c>
      <c r="I103" s="16" t="n">
        <f aca="false">J103*0.4</f>
        <v>1833.25008</v>
      </c>
      <c r="J103" s="16" t="n">
        <f aca="false">ROUND(E103,2)*(ROUND(G103,2))</f>
        <v>4583.1252</v>
      </c>
    </row>
    <row r="104" customFormat="false" ht="43.25" hidden="false" customHeight="false" outlineLevel="0" collapsed="false">
      <c r="A104" s="13" t="n">
        <v>87260</v>
      </c>
      <c r="B104" s="13" t="s">
        <v>149</v>
      </c>
      <c r="C104" s="13" t="s">
        <v>150</v>
      </c>
      <c r="D104" s="14" t="s">
        <v>23</v>
      </c>
      <c r="E104" s="15" t="n">
        <f aca="false">E102+5.04</f>
        <v>226.02</v>
      </c>
      <c r="F104" s="16" t="n">
        <v>100.37</v>
      </c>
      <c r="G104" s="16" t="n">
        <f aca="false">F104*1.25</f>
        <v>125.4625</v>
      </c>
      <c r="H104" s="16" t="n">
        <f aca="false">J104*0.6</f>
        <v>17013.88152</v>
      </c>
      <c r="I104" s="16" t="n">
        <f aca="false">J104*0.4</f>
        <v>11342.58768</v>
      </c>
      <c r="J104" s="16" t="n">
        <f aca="false">ROUND(E104,2)*(ROUND(G104,2))</f>
        <v>28356.4692</v>
      </c>
    </row>
    <row r="105" customFormat="false" ht="64.15" hidden="false" customHeight="false" outlineLevel="0" collapsed="false">
      <c r="A105" s="13" t="n">
        <v>94991</v>
      </c>
      <c r="B105" s="13" t="s">
        <v>151</v>
      </c>
      <c r="C105" s="13" t="s">
        <v>152</v>
      </c>
      <c r="D105" s="15" t="s">
        <v>41</v>
      </c>
      <c r="E105" s="15" t="n">
        <f aca="false">5.04*0.1</f>
        <v>0.504</v>
      </c>
      <c r="F105" s="16" t="n">
        <v>553.77</v>
      </c>
      <c r="G105" s="16" t="n">
        <f aca="false">F105*1.25</f>
        <v>692.2125</v>
      </c>
      <c r="H105" s="15" t="n">
        <f aca="false">J105*0.6</f>
        <v>207.663</v>
      </c>
      <c r="I105" s="15" t="n">
        <f aca="false">J105*0.4</f>
        <v>138.442</v>
      </c>
      <c r="J105" s="16" t="n">
        <f aca="false">ROUND(E105,2)*(ROUND(G105,2))</f>
        <v>346.105</v>
      </c>
    </row>
    <row r="106" customFormat="false" ht="13.8" hidden="false" customHeight="false" outlineLevel="0" collapsed="false">
      <c r="A106" s="18"/>
      <c r="B106" s="18"/>
      <c r="C106" s="18"/>
      <c r="D106" s="18"/>
      <c r="E106" s="18"/>
      <c r="F106" s="18"/>
      <c r="G106" s="18"/>
      <c r="H106" s="18"/>
      <c r="I106" s="19" t="s">
        <v>32</v>
      </c>
      <c r="J106" s="20" t="n">
        <f aca="false">SUM(J101:J105)</f>
        <v>43501.8357</v>
      </c>
    </row>
    <row r="107" customFormat="false" ht="13.8" hidden="false" customHeight="false" outlineLevel="0" collapsed="false">
      <c r="A107" s="11" t="s">
        <v>153</v>
      </c>
      <c r="B107" s="11"/>
      <c r="C107" s="11"/>
      <c r="D107" s="11"/>
      <c r="E107" s="11"/>
      <c r="F107" s="11"/>
      <c r="G107" s="11"/>
      <c r="H107" s="11"/>
      <c r="I107" s="11"/>
      <c r="J107" s="11"/>
    </row>
    <row r="108" customFormat="false" ht="13.8" hidden="false" customHeight="false" outlineLevel="0" collapsed="false">
      <c r="A108" s="23" t="s">
        <v>154</v>
      </c>
      <c r="B108" s="23"/>
      <c r="C108" s="23"/>
      <c r="D108" s="23"/>
      <c r="E108" s="23"/>
      <c r="F108" s="23"/>
      <c r="G108" s="23"/>
      <c r="H108" s="23"/>
      <c r="I108" s="23"/>
      <c r="J108" s="23"/>
    </row>
    <row r="109" customFormat="false" ht="43.25" hidden="false" customHeight="false" outlineLevel="0" collapsed="false">
      <c r="A109" s="13" t="n">
        <v>87879</v>
      </c>
      <c r="B109" s="21" t="s">
        <v>155</v>
      </c>
      <c r="C109" s="13" t="s">
        <v>156</v>
      </c>
      <c r="D109" s="14" t="s">
        <v>23</v>
      </c>
      <c r="E109" s="15" t="n">
        <f aca="false">(((10.7+4.6+4.6+4.6+10.7+5.6+18.7+5.45+5.45+3.05+2.4+1.8+3.05+1.5+5.45+5.45+18.7+2.8)*2.85)*2)+46.78</f>
        <v>700</v>
      </c>
      <c r="F109" s="16" t="n">
        <v>3.45</v>
      </c>
      <c r="G109" s="16" t="n">
        <f aca="false">F109*1.25</f>
        <v>4.3125</v>
      </c>
      <c r="H109" s="16" t="n">
        <f aca="false">J109*0.6</f>
        <v>1810.2</v>
      </c>
      <c r="I109" s="16" t="n">
        <f aca="false">J109*0.4</f>
        <v>1206.8</v>
      </c>
      <c r="J109" s="16" t="n">
        <f aca="false">ROUND(E109,2)*(ROUND(G109,2))</f>
        <v>3017</v>
      </c>
    </row>
    <row r="110" customFormat="false" ht="53.7" hidden="false" customHeight="false" outlineLevel="0" collapsed="false">
      <c r="A110" s="13" t="n">
        <v>87529</v>
      </c>
      <c r="B110" s="21" t="s">
        <v>157</v>
      </c>
      <c r="C110" s="13" t="s">
        <v>158</v>
      </c>
      <c r="D110" s="14" t="s">
        <v>23</v>
      </c>
      <c r="E110" s="15" t="n">
        <f aca="false">E109</f>
        <v>700</v>
      </c>
      <c r="F110" s="16" t="n">
        <v>29.01</v>
      </c>
      <c r="G110" s="16" t="n">
        <f aca="false">F110*1.25</f>
        <v>36.2625</v>
      </c>
      <c r="H110" s="16" t="n">
        <f aca="false">J110*0.6</f>
        <v>15229.2</v>
      </c>
      <c r="I110" s="16" t="n">
        <f aca="false">J110*0.4</f>
        <v>10152.8</v>
      </c>
      <c r="J110" s="16" t="n">
        <f aca="false">ROUND(E110,2)*(ROUND(G110,2))</f>
        <v>25382</v>
      </c>
    </row>
    <row r="111" customFormat="false" ht="22.35" hidden="false" customHeight="false" outlineLevel="0" collapsed="false">
      <c r="A111" s="13" t="s">
        <v>159</v>
      </c>
      <c r="B111" s="21" t="s">
        <v>160</v>
      </c>
      <c r="C111" s="13" t="s">
        <v>161</v>
      </c>
      <c r="D111" s="14" t="s">
        <v>23</v>
      </c>
      <c r="E111" s="15" t="n">
        <f aca="false">E110-E112</f>
        <v>599.9968</v>
      </c>
      <c r="F111" s="16" t="n">
        <v>4.48</v>
      </c>
      <c r="G111" s="16" t="n">
        <f aca="false">F111*1.25</f>
        <v>5.6</v>
      </c>
      <c r="H111" s="16" t="n">
        <f aca="false">J111*0.6</f>
        <v>2016</v>
      </c>
      <c r="I111" s="16" t="n">
        <f aca="false">J111*0.4</f>
        <v>1344</v>
      </c>
      <c r="J111" s="16" t="n">
        <f aca="false">ROUND(E111,2)*(ROUND(G111,2))</f>
        <v>3360</v>
      </c>
    </row>
    <row r="112" customFormat="false" ht="53.7" hidden="false" customHeight="false" outlineLevel="0" collapsed="false">
      <c r="A112" s="13" t="n">
        <v>87273</v>
      </c>
      <c r="B112" s="21" t="s">
        <v>162</v>
      </c>
      <c r="C112" s="13" t="s">
        <v>163</v>
      </c>
      <c r="D112" s="14" t="s">
        <v>23</v>
      </c>
      <c r="E112" s="15" t="n">
        <f aca="false">((5.45+3.17+2.4+0.83+3.05+2.34)*2.84*2)+2.08</f>
        <v>100.0032</v>
      </c>
      <c r="F112" s="16" t="n">
        <v>58.86</v>
      </c>
      <c r="G112" s="16" t="n">
        <f aca="false">F112*1.25</f>
        <v>73.575</v>
      </c>
      <c r="H112" s="16" t="n">
        <f aca="false">J112*0.6</f>
        <v>4414.8</v>
      </c>
      <c r="I112" s="16" t="n">
        <f aca="false">J112*0.4</f>
        <v>2943.2</v>
      </c>
      <c r="J112" s="16" t="n">
        <f aca="false">ROUND(E112,2)*(ROUND(G112,2))</f>
        <v>7358</v>
      </c>
    </row>
    <row r="113" customFormat="false" ht="13.8" hidden="false" customHeight="false" outlineLevel="0" collapsed="false">
      <c r="A113" s="23" t="s">
        <v>164</v>
      </c>
      <c r="B113" s="23"/>
      <c r="C113" s="23"/>
      <c r="D113" s="23"/>
      <c r="E113" s="23"/>
      <c r="F113" s="23"/>
      <c r="G113" s="23"/>
      <c r="H113" s="23"/>
      <c r="I113" s="23"/>
      <c r="J113" s="23"/>
    </row>
    <row r="114" customFormat="false" ht="32.8" hidden="false" customHeight="false" outlineLevel="0" collapsed="false">
      <c r="A114" s="13" t="n">
        <v>87886</v>
      </c>
      <c r="B114" s="12" t="s">
        <v>165</v>
      </c>
      <c r="C114" s="13" t="s">
        <v>166</v>
      </c>
      <c r="D114" s="14" t="s">
        <v>23</v>
      </c>
      <c r="E114" s="15" t="n">
        <f aca="false">E55</f>
        <v>163.49</v>
      </c>
      <c r="F114" s="16" t="n">
        <v>16.47</v>
      </c>
      <c r="G114" s="16" t="n">
        <f aca="false">F114*1.25</f>
        <v>20.5875</v>
      </c>
      <c r="H114" s="16" t="n">
        <f aca="false">J114*0.6</f>
        <v>2019.75546</v>
      </c>
      <c r="I114" s="16" t="n">
        <f aca="false">J114*0.4</f>
        <v>1346.50364</v>
      </c>
      <c r="J114" s="16" t="n">
        <f aca="false">ROUND(E114,2)*(ROUND(G114,2))</f>
        <v>3366.2591</v>
      </c>
    </row>
    <row r="115" customFormat="false" ht="53.7" hidden="false" customHeight="false" outlineLevel="0" collapsed="false">
      <c r="A115" s="13" t="n">
        <v>90408</v>
      </c>
      <c r="B115" s="12" t="s">
        <v>167</v>
      </c>
      <c r="C115" s="13" t="s">
        <v>168</v>
      </c>
      <c r="D115" s="14" t="s">
        <v>23</v>
      </c>
      <c r="E115" s="15" t="n">
        <f aca="false">E114</f>
        <v>163.49</v>
      </c>
      <c r="F115" s="16" t="n">
        <v>27.5</v>
      </c>
      <c r="G115" s="16" t="n">
        <f aca="false">F115*1.25</f>
        <v>34.375</v>
      </c>
      <c r="H115" s="16" t="n">
        <f aca="false">J115*0.6</f>
        <v>3372.47172</v>
      </c>
      <c r="I115" s="16" t="n">
        <f aca="false">J115*0.4</f>
        <v>2248.31448</v>
      </c>
      <c r="J115" s="16" t="n">
        <f aca="false">ROUND(E115,2)*(ROUND(G115,2))</f>
        <v>5620.7862</v>
      </c>
    </row>
    <row r="116" customFormat="false" ht="22.35" hidden="false" customHeight="false" outlineLevel="0" collapsed="false">
      <c r="A116" s="13" t="s">
        <v>159</v>
      </c>
      <c r="B116" s="12" t="s">
        <v>169</v>
      </c>
      <c r="C116" s="13" t="s">
        <v>161</v>
      </c>
      <c r="D116" s="14" t="s">
        <v>23</v>
      </c>
      <c r="E116" s="15" t="n">
        <f aca="false">E115</f>
        <v>163.49</v>
      </c>
      <c r="F116" s="16" t="n">
        <v>4.48</v>
      </c>
      <c r="G116" s="16" t="n">
        <f aca="false">F116*1.25</f>
        <v>5.6</v>
      </c>
      <c r="H116" s="16" t="n">
        <f aca="false">J116*0.6</f>
        <v>549.3264</v>
      </c>
      <c r="I116" s="16" t="n">
        <f aca="false">J116*0.4</f>
        <v>366.2176</v>
      </c>
      <c r="J116" s="16" t="n">
        <f aca="false">ROUND(E116,2)*(ROUND(G116,2))</f>
        <v>915.544</v>
      </c>
    </row>
    <row r="117" customFormat="false" ht="13.8" hidden="false" customHeight="false" outlineLevel="0" collapsed="false">
      <c r="A117" s="13" t="n">
        <v>96120</v>
      </c>
      <c r="B117" s="12" t="s">
        <v>170</v>
      </c>
      <c r="C117" s="13" t="s">
        <v>171</v>
      </c>
      <c r="D117" s="14" t="s">
        <v>38</v>
      </c>
      <c r="E117" s="15" t="n">
        <f aca="false">(5.45+5.55+5.45+5.55)+(5.45+6.05+5.45+6.05)+(4.6+4.33+4.6+4.33)+(4.6+3+4.6+3)+(4.6+2.9+4.6+2.9)</f>
        <v>93.06</v>
      </c>
      <c r="F117" s="16" t="n">
        <v>2.47</v>
      </c>
      <c r="G117" s="16" t="n">
        <f aca="false">F117*1.25</f>
        <v>3.0875</v>
      </c>
      <c r="H117" s="16" t="n">
        <f aca="false">J117*0.6</f>
        <v>172.53324</v>
      </c>
      <c r="I117" s="16" t="n">
        <f aca="false">J117*0.4</f>
        <v>115.02216</v>
      </c>
      <c r="J117" s="16" t="n">
        <f aca="false">ROUND(E117,2)*(ROUND(G117,2))</f>
        <v>287.5554</v>
      </c>
    </row>
    <row r="118" customFormat="false" ht="13.8" hidden="false" customHeight="false" outlineLevel="0" collapsed="false">
      <c r="A118" s="23" t="s">
        <v>172</v>
      </c>
      <c r="B118" s="23"/>
      <c r="C118" s="23"/>
      <c r="D118" s="23"/>
      <c r="E118" s="23"/>
      <c r="F118" s="23"/>
      <c r="G118" s="23"/>
      <c r="H118" s="23"/>
      <c r="I118" s="23"/>
      <c r="J118" s="23"/>
    </row>
    <row r="119" customFormat="false" ht="43.25" hidden="false" customHeight="false" outlineLevel="0" collapsed="false">
      <c r="A119" s="13" t="n">
        <v>87879</v>
      </c>
      <c r="B119" s="21" t="s">
        <v>173</v>
      </c>
      <c r="C119" s="13" t="s">
        <v>156</v>
      </c>
      <c r="D119" s="14" t="s">
        <v>23</v>
      </c>
      <c r="E119" s="15" t="n">
        <f aca="false">E81*2</f>
        <v>71.015</v>
      </c>
      <c r="F119" s="16" t="n">
        <v>3.45</v>
      </c>
      <c r="G119" s="16" t="n">
        <f aca="false">F119*1.25</f>
        <v>4.3125</v>
      </c>
      <c r="H119" s="16" t="n">
        <f aca="false">J119*0.6</f>
        <v>183.65772</v>
      </c>
      <c r="I119" s="16" t="n">
        <f aca="false">J119*0.4</f>
        <v>122.43848</v>
      </c>
      <c r="J119" s="16" t="n">
        <f aca="false">ROUND(E119,2)*(ROUND(G119,2))</f>
        <v>306.0962</v>
      </c>
    </row>
    <row r="120" customFormat="false" ht="53.7" hidden="false" customHeight="false" outlineLevel="0" collapsed="false">
      <c r="A120" s="13" t="n">
        <v>87529</v>
      </c>
      <c r="B120" s="21" t="s">
        <v>174</v>
      </c>
      <c r="C120" s="13" t="s">
        <v>158</v>
      </c>
      <c r="D120" s="14" t="s">
        <v>23</v>
      </c>
      <c r="E120" s="15" t="n">
        <f aca="false">E119</f>
        <v>71.015</v>
      </c>
      <c r="F120" s="16" t="n">
        <v>29.01</v>
      </c>
      <c r="G120" s="16" t="n">
        <f aca="false">F120*1.25</f>
        <v>36.2625</v>
      </c>
      <c r="H120" s="16" t="n">
        <f aca="false">J120*0.6</f>
        <v>1545.11112</v>
      </c>
      <c r="I120" s="16" t="n">
        <f aca="false">J120*0.4</f>
        <v>1030.07408</v>
      </c>
      <c r="J120" s="16" t="n">
        <f aca="false">ROUND(E120,2)*(ROUND(G120,2))</f>
        <v>2575.1852</v>
      </c>
    </row>
    <row r="121" customFormat="false" ht="22.35" hidden="false" customHeight="false" outlineLevel="0" collapsed="false">
      <c r="A121" s="13" t="s">
        <v>159</v>
      </c>
      <c r="B121" s="21" t="s">
        <v>175</v>
      </c>
      <c r="C121" s="13" t="s">
        <v>161</v>
      </c>
      <c r="D121" s="14" t="s">
        <v>23</v>
      </c>
      <c r="E121" s="15" t="n">
        <f aca="false">E120</f>
        <v>71.015</v>
      </c>
      <c r="F121" s="16" t="n">
        <v>4.48</v>
      </c>
      <c r="G121" s="16" t="n">
        <f aca="false">F121*1.25</f>
        <v>5.6</v>
      </c>
      <c r="H121" s="16" t="n">
        <f aca="false">J121*0.6</f>
        <v>238.6272</v>
      </c>
      <c r="I121" s="16" t="n">
        <f aca="false">J121*0.4</f>
        <v>159.0848</v>
      </c>
      <c r="J121" s="16" t="n">
        <f aca="false">ROUND(E121,2)*(ROUND(G121,2))</f>
        <v>397.712</v>
      </c>
    </row>
    <row r="122" customFormat="false" ht="22.35" hidden="false" customHeight="false" outlineLevel="0" collapsed="false">
      <c r="A122" s="13" t="n">
        <v>140</v>
      </c>
      <c r="B122" s="21" t="s">
        <v>176</v>
      </c>
      <c r="C122" s="13" t="s">
        <v>177</v>
      </c>
      <c r="D122" s="14" t="s">
        <v>53</v>
      </c>
      <c r="E122" s="15" t="n">
        <v>60</v>
      </c>
      <c r="F122" s="16" t="n">
        <f aca="false">14.48+(14.48*0.4)</f>
        <v>20.272</v>
      </c>
      <c r="G122" s="16" t="n">
        <f aca="false">F122*1.25</f>
        <v>25.34</v>
      </c>
      <c r="H122" s="16" t="n">
        <f aca="false">J122*0.6</f>
        <v>912.24</v>
      </c>
      <c r="I122" s="16" t="n">
        <f aca="false">J122*0.4</f>
        <v>608.16</v>
      </c>
      <c r="J122" s="16" t="n">
        <f aca="false">ROUND(E122,2)*(ROUND(G122,2))</f>
        <v>1520.4</v>
      </c>
    </row>
    <row r="123" customFormat="false" ht="13.8" hidden="false" customHeight="false" outlineLevel="0" collapsed="false">
      <c r="A123" s="23" t="s">
        <v>178</v>
      </c>
      <c r="B123" s="23"/>
      <c r="C123" s="23"/>
      <c r="D123" s="23"/>
      <c r="E123" s="23"/>
      <c r="F123" s="23"/>
      <c r="G123" s="23"/>
      <c r="H123" s="23"/>
      <c r="I123" s="23"/>
      <c r="J123" s="23"/>
    </row>
    <row r="124" customFormat="false" ht="43.25" hidden="false" customHeight="false" outlineLevel="0" collapsed="false">
      <c r="A124" s="13" t="n">
        <v>87879</v>
      </c>
      <c r="B124" s="21" t="s">
        <v>179</v>
      </c>
      <c r="C124" s="13" t="s">
        <v>156</v>
      </c>
      <c r="D124" s="14" t="s">
        <v>23</v>
      </c>
      <c r="E124" s="15" t="n">
        <f aca="false">(E90*2)+E91</f>
        <v>65.2028</v>
      </c>
      <c r="F124" s="16" t="n">
        <v>3.45</v>
      </c>
      <c r="G124" s="16" t="n">
        <f aca="false">F124*1.25</f>
        <v>4.3125</v>
      </c>
      <c r="H124" s="16" t="n">
        <f aca="false">J124*0.6</f>
        <v>168.6072</v>
      </c>
      <c r="I124" s="16" t="n">
        <f aca="false">J124*0.4</f>
        <v>112.4048</v>
      </c>
      <c r="J124" s="16" t="n">
        <f aca="false">ROUND(E124,2)*(ROUND(G124,2))</f>
        <v>281.012</v>
      </c>
    </row>
    <row r="125" customFormat="false" ht="53.7" hidden="false" customHeight="false" outlineLevel="0" collapsed="false">
      <c r="A125" s="13" t="n">
        <v>87529</v>
      </c>
      <c r="B125" s="21" t="s">
        <v>180</v>
      </c>
      <c r="C125" s="13" t="s">
        <v>158</v>
      </c>
      <c r="D125" s="14" t="s">
        <v>23</v>
      </c>
      <c r="E125" s="15" t="n">
        <f aca="false">E124</f>
        <v>65.2028</v>
      </c>
      <c r="F125" s="16" t="n">
        <v>29.01</v>
      </c>
      <c r="G125" s="16" t="n">
        <f aca="false">F125*1.25</f>
        <v>36.2625</v>
      </c>
      <c r="H125" s="16" t="n">
        <f aca="false">J125*0.6</f>
        <v>1418.4912</v>
      </c>
      <c r="I125" s="16" t="n">
        <f aca="false">J125*0.4</f>
        <v>945.6608</v>
      </c>
      <c r="J125" s="16" t="n">
        <f aca="false">ROUND(E125,2)*(ROUND(G125,2))</f>
        <v>2364.152</v>
      </c>
    </row>
    <row r="126" customFormat="false" ht="22.35" hidden="false" customHeight="false" outlineLevel="0" collapsed="false">
      <c r="A126" s="13" t="s">
        <v>159</v>
      </c>
      <c r="B126" s="21" t="s">
        <v>181</v>
      </c>
      <c r="C126" s="13" t="s">
        <v>161</v>
      </c>
      <c r="D126" s="14" t="s">
        <v>23</v>
      </c>
      <c r="E126" s="15" t="n">
        <f aca="false">E125</f>
        <v>65.2028</v>
      </c>
      <c r="F126" s="16" t="n">
        <v>4.48</v>
      </c>
      <c r="G126" s="16" t="n">
        <f aca="false">F126*1.25</f>
        <v>5.6</v>
      </c>
      <c r="H126" s="16" t="n">
        <f aca="false">J126*0.6</f>
        <v>219.072</v>
      </c>
      <c r="I126" s="16" t="n">
        <f aca="false">J126*0.4</f>
        <v>146.048</v>
      </c>
      <c r="J126" s="16" t="n">
        <f aca="false">ROUND(E126,2)*(ROUND(G126,2))</f>
        <v>365.12</v>
      </c>
    </row>
    <row r="127" customFormat="false" ht="13.8" hidden="false" customHeight="false" outlineLevel="0" collapsed="false">
      <c r="A127" s="18"/>
      <c r="B127" s="18"/>
      <c r="C127" s="18"/>
      <c r="D127" s="18"/>
      <c r="E127" s="18"/>
      <c r="F127" s="18"/>
      <c r="G127" s="18"/>
      <c r="H127" s="18"/>
      <c r="I127" s="19" t="s">
        <v>32</v>
      </c>
      <c r="J127" s="20" t="n">
        <f aca="false">SUM(J109:J126)</f>
        <v>57116.8221</v>
      </c>
    </row>
    <row r="128" customFormat="false" ht="13.8" hidden="false" customHeight="false" outlineLevel="0" collapsed="false">
      <c r="A128" s="11" t="s">
        <v>182</v>
      </c>
      <c r="B128" s="11"/>
      <c r="C128" s="11"/>
      <c r="D128" s="11"/>
      <c r="E128" s="11"/>
      <c r="F128" s="11"/>
      <c r="G128" s="11"/>
      <c r="H128" s="11"/>
      <c r="I128" s="11"/>
      <c r="J128" s="11"/>
    </row>
    <row r="129" customFormat="false" ht="13.8" hidden="false" customHeight="false" outlineLevel="0" collapsed="false">
      <c r="A129" s="23" t="s">
        <v>183</v>
      </c>
      <c r="B129" s="23"/>
      <c r="C129" s="23"/>
      <c r="D129" s="23"/>
      <c r="E129" s="23"/>
      <c r="F129" s="23"/>
      <c r="G129" s="23"/>
      <c r="H129" s="23"/>
      <c r="I129" s="23"/>
      <c r="J129" s="23"/>
    </row>
    <row r="130" customFormat="false" ht="53.7" hidden="false" customHeight="false" outlineLevel="0" collapsed="false">
      <c r="A130" s="13" t="s">
        <v>159</v>
      </c>
      <c r="B130" s="21" t="s">
        <v>184</v>
      </c>
      <c r="C130" s="13" t="s">
        <v>185</v>
      </c>
      <c r="D130" s="14" t="s">
        <v>27</v>
      </c>
      <c r="E130" s="15" t="n">
        <v>4</v>
      </c>
      <c r="F130" s="16" t="n">
        <v>1300</v>
      </c>
      <c r="G130" s="16" t="n">
        <f aca="false">F130*1.25</f>
        <v>1625</v>
      </c>
      <c r="H130" s="16" t="n">
        <f aca="false">J130*0.6</f>
        <v>3900</v>
      </c>
      <c r="I130" s="16" t="n">
        <f aca="false">J130*0.4</f>
        <v>2600</v>
      </c>
      <c r="J130" s="16" t="n">
        <f aca="false">ROUND(E130,2)*(ROUND(G130,2))</f>
        <v>6500</v>
      </c>
    </row>
    <row r="131" customFormat="false" ht="32.8" hidden="false" customHeight="false" outlineLevel="0" collapsed="false">
      <c r="A131" s="13" t="n">
        <v>100659</v>
      </c>
      <c r="B131" s="21" t="s">
        <v>186</v>
      </c>
      <c r="C131" s="13" t="s">
        <v>187</v>
      </c>
      <c r="D131" s="14" t="s">
        <v>38</v>
      </c>
      <c r="E131" s="15" t="n">
        <f aca="false">(1+1+2.1+2.1)*2*2</f>
        <v>24.8</v>
      </c>
      <c r="F131" s="16" t="n">
        <v>12.16</v>
      </c>
      <c r="G131" s="16" t="n">
        <f aca="false">F131*1.25</f>
        <v>15.2</v>
      </c>
      <c r="H131" s="16" t="n">
        <f aca="false">J131*0.6</f>
        <v>226.176</v>
      </c>
      <c r="I131" s="16" t="n">
        <f aca="false">J131*0.4</f>
        <v>150.784</v>
      </c>
      <c r="J131" s="16" t="n">
        <f aca="false">ROUND(E131,2)*(ROUND(G131,2))</f>
        <v>376.96</v>
      </c>
    </row>
    <row r="132" customFormat="false" ht="22.35" hidden="false" customHeight="false" outlineLevel="0" collapsed="false">
      <c r="A132" s="13" t="n">
        <v>39620</v>
      </c>
      <c r="B132" s="21" t="s">
        <v>188</v>
      </c>
      <c r="C132" s="13" t="s">
        <v>189</v>
      </c>
      <c r="D132" s="14" t="s">
        <v>27</v>
      </c>
      <c r="E132" s="15" t="n">
        <v>1</v>
      </c>
      <c r="F132" s="16" t="n">
        <f aca="false">(791.42*2)+(791.42*0.4)</f>
        <v>1899.408</v>
      </c>
      <c r="G132" s="16" t="n">
        <f aca="false">F132*1.25</f>
        <v>2374.26</v>
      </c>
      <c r="H132" s="16" t="n">
        <f aca="false">J132*0.6</f>
        <v>1424.556</v>
      </c>
      <c r="I132" s="16" t="n">
        <f aca="false">J132*0.4</f>
        <v>949.704</v>
      </c>
      <c r="J132" s="16" t="n">
        <f aca="false">ROUND(E132,2)*(ROUND(G132,2))</f>
        <v>2374.26</v>
      </c>
    </row>
    <row r="133" customFormat="false" ht="22.35" hidden="false" customHeight="false" outlineLevel="0" collapsed="false">
      <c r="A133" s="13" t="n">
        <v>39624</v>
      </c>
      <c r="B133" s="21" t="s">
        <v>190</v>
      </c>
      <c r="C133" s="13" t="s">
        <v>191</v>
      </c>
      <c r="D133" s="14" t="s">
        <v>27</v>
      </c>
      <c r="E133" s="15" t="n">
        <v>1</v>
      </c>
      <c r="F133" s="16" t="n">
        <f aca="false">1282.37+(1282.37*0.4)</f>
        <v>1795.318</v>
      </c>
      <c r="G133" s="16" t="n">
        <f aca="false">F133*1.25</f>
        <v>2244.1475</v>
      </c>
      <c r="H133" s="16" t="n">
        <f aca="false">J133*0.6</f>
        <v>1346.49</v>
      </c>
      <c r="I133" s="16" t="n">
        <f aca="false">J133*0.4</f>
        <v>897.66</v>
      </c>
      <c r="J133" s="16" t="n">
        <f aca="false">ROUND(E133,2)*(ROUND(G133,2))</f>
        <v>2244.15</v>
      </c>
    </row>
    <row r="134" customFormat="false" ht="53.7" hidden="false" customHeight="false" outlineLevel="0" collapsed="false">
      <c r="A134" s="13" t="n">
        <v>90793</v>
      </c>
      <c r="B134" s="21" t="s">
        <v>192</v>
      </c>
      <c r="C134" s="13" t="s">
        <v>193</v>
      </c>
      <c r="D134" s="14" t="s">
        <v>27</v>
      </c>
      <c r="E134" s="15" t="n">
        <v>8</v>
      </c>
      <c r="F134" s="16" t="n">
        <v>953.59</v>
      </c>
      <c r="G134" s="16" t="n">
        <f aca="false">F134*1.25</f>
        <v>1191.9875</v>
      </c>
      <c r="H134" s="16" t="n">
        <f aca="false">J134*0.6</f>
        <v>5721.552</v>
      </c>
      <c r="I134" s="16" t="n">
        <f aca="false">J134*0.4</f>
        <v>3814.368</v>
      </c>
      <c r="J134" s="16" t="n">
        <f aca="false">ROUND(E134,2)*(ROUND(G134,2))</f>
        <v>9535.92</v>
      </c>
    </row>
    <row r="135" customFormat="false" ht="32.8" hidden="false" customHeight="false" outlineLevel="0" collapsed="false">
      <c r="A135" s="13" t="n">
        <v>91341</v>
      </c>
      <c r="B135" s="13" t="s">
        <v>194</v>
      </c>
      <c r="C135" s="13" t="s">
        <v>195</v>
      </c>
      <c r="D135" s="14" t="s">
        <v>23</v>
      </c>
      <c r="E135" s="15" t="n">
        <f aca="false">(0.6*1.9*10)</f>
        <v>11.4</v>
      </c>
      <c r="F135" s="16" t="n">
        <v>571.62</v>
      </c>
      <c r="G135" s="16" t="n">
        <f aca="false">F135*1.25</f>
        <v>714.525</v>
      </c>
      <c r="H135" s="16" t="n">
        <f aca="false">J135*0.6</f>
        <v>4887.3852</v>
      </c>
      <c r="I135" s="16" t="n">
        <f aca="false">J135*0.4</f>
        <v>3258.2568</v>
      </c>
      <c r="J135" s="16" t="n">
        <f aca="false">ROUND(E135,2)*(ROUND(G135,2))</f>
        <v>8145.642</v>
      </c>
    </row>
    <row r="136" customFormat="false" ht="22.35" hidden="false" customHeight="false" outlineLevel="0" collapsed="false">
      <c r="A136" s="13" t="n">
        <v>99862</v>
      </c>
      <c r="B136" s="21" t="s">
        <v>196</v>
      </c>
      <c r="C136" s="13" t="s">
        <v>197</v>
      </c>
      <c r="D136" s="14" t="s">
        <v>23</v>
      </c>
      <c r="E136" s="15" t="n">
        <f aca="false">1*2.1*4</f>
        <v>8.4</v>
      </c>
      <c r="F136" s="16" t="n">
        <v>530.39</v>
      </c>
      <c r="G136" s="16" t="n">
        <f aca="false">F136*1.25</f>
        <v>662.9875</v>
      </c>
      <c r="H136" s="16" t="n">
        <f aca="false">J136*0.6</f>
        <v>3341.4696</v>
      </c>
      <c r="I136" s="16" t="n">
        <f aca="false">J136*0.4</f>
        <v>2227.6464</v>
      </c>
      <c r="J136" s="16" t="n">
        <f aca="false">ROUND(E136,2)*(ROUND(G136,2))</f>
        <v>5569.116</v>
      </c>
    </row>
    <row r="137" customFormat="false" ht="13.8" hidden="false" customHeight="false" outlineLevel="0" collapsed="false">
      <c r="A137" s="23" t="s">
        <v>198</v>
      </c>
      <c r="B137" s="23"/>
      <c r="C137" s="23"/>
      <c r="D137" s="23"/>
      <c r="E137" s="23"/>
      <c r="F137" s="23"/>
      <c r="G137" s="23"/>
      <c r="H137" s="23"/>
      <c r="I137" s="23"/>
      <c r="J137" s="23"/>
    </row>
    <row r="138" customFormat="false" ht="32.8" hidden="false" customHeight="false" outlineLevel="0" collapsed="false">
      <c r="A138" s="13" t="n">
        <v>101965</v>
      </c>
      <c r="B138" s="21" t="s">
        <v>199</v>
      </c>
      <c r="C138" s="13" t="s">
        <v>200</v>
      </c>
      <c r="D138" s="14" t="s">
        <v>38</v>
      </c>
      <c r="E138" s="15" t="n">
        <f aca="false">(2*9)+(1.8*2)</f>
        <v>21.6</v>
      </c>
      <c r="F138" s="16" t="n">
        <v>108.08</v>
      </c>
      <c r="G138" s="16" t="n">
        <f aca="false">F138*1.25</f>
        <v>135.1</v>
      </c>
      <c r="H138" s="16" t="n">
        <f aca="false">J138*0.6</f>
        <v>1750.896</v>
      </c>
      <c r="I138" s="16" t="n">
        <f aca="false">J138*0.4</f>
        <v>1167.264</v>
      </c>
      <c r="J138" s="16" t="n">
        <f aca="false">ROUND(E138,2)*(ROUND(G138,2))</f>
        <v>2918.16</v>
      </c>
    </row>
    <row r="139" customFormat="false" ht="43.25" hidden="false" customHeight="false" outlineLevel="0" collapsed="false">
      <c r="A139" s="13" t="n">
        <v>94569</v>
      </c>
      <c r="B139" s="21" t="s">
        <v>201</v>
      </c>
      <c r="C139" s="13" t="s">
        <v>133</v>
      </c>
      <c r="D139" s="14" t="s">
        <v>23</v>
      </c>
      <c r="E139" s="15" t="n">
        <f aca="false">(2*1.02*9)+(1.8*0.6*6)+(1.08*1.05*2)</f>
        <v>27.108</v>
      </c>
      <c r="F139" s="16" t="n">
        <v>535.56</v>
      </c>
      <c r="G139" s="16" t="n">
        <f aca="false">F139*1.25</f>
        <v>669.45</v>
      </c>
      <c r="H139" s="16" t="n">
        <f aca="false">J139*0.6</f>
        <v>10889.2737</v>
      </c>
      <c r="I139" s="16" t="n">
        <f aca="false">J139*0.4</f>
        <v>7259.5158</v>
      </c>
      <c r="J139" s="16" t="n">
        <f aca="false">ROUND(E139,2)*(ROUND(G139,2))</f>
        <v>18148.7895</v>
      </c>
    </row>
    <row r="140" customFormat="false" ht="43.25" hidden="false" customHeight="false" outlineLevel="0" collapsed="false">
      <c r="A140" s="13" t="n">
        <v>100674</v>
      </c>
      <c r="B140" s="21" t="s">
        <v>202</v>
      </c>
      <c r="C140" s="13" t="s">
        <v>203</v>
      </c>
      <c r="D140" s="14" t="s">
        <v>23</v>
      </c>
      <c r="E140" s="15" t="n">
        <f aca="false">(2*0.48*9)+(1.08*0.48*2)+(1.08*1.05*2)+(1.08*0.48*2)+(1.08*1.05*4)+(2*0.48*2)</f>
        <v>19.4376</v>
      </c>
      <c r="F140" s="16" t="n">
        <v>357.35</v>
      </c>
      <c r="G140" s="16" t="n">
        <f aca="false">F140*1.25</f>
        <v>446.6875</v>
      </c>
      <c r="H140" s="16" t="n">
        <f aca="false">J140*0.6</f>
        <v>5210.19216</v>
      </c>
      <c r="I140" s="16" t="n">
        <f aca="false">J140*0.4</f>
        <v>3473.46144</v>
      </c>
      <c r="J140" s="16" t="n">
        <f aca="false">ROUND(E140,2)*(ROUND(G140,2))</f>
        <v>8683.6536</v>
      </c>
    </row>
    <row r="141" customFormat="false" ht="32.8" hidden="false" customHeight="false" outlineLevel="0" collapsed="false">
      <c r="A141" s="13" t="n">
        <v>100659</v>
      </c>
      <c r="B141" s="21" t="s">
        <v>204</v>
      </c>
      <c r="C141" s="13" t="s">
        <v>187</v>
      </c>
      <c r="D141" s="14" t="s">
        <v>38</v>
      </c>
      <c r="E141" s="15" t="n">
        <f aca="false">1.5*9</f>
        <v>13.5</v>
      </c>
      <c r="F141" s="16" t="n">
        <v>12.16</v>
      </c>
      <c r="G141" s="16" t="n">
        <f aca="false">F141*1.25</f>
        <v>15.2</v>
      </c>
      <c r="H141" s="16" t="n">
        <f aca="false">J141*0.6</f>
        <v>123.12</v>
      </c>
      <c r="I141" s="16" t="n">
        <f aca="false">J141*0.4</f>
        <v>82.08</v>
      </c>
      <c r="J141" s="16" t="n">
        <f aca="false">ROUND(E141,2)*(ROUND(G141,2))</f>
        <v>205.2</v>
      </c>
    </row>
    <row r="142" customFormat="false" ht="53.7" hidden="false" customHeight="false" outlineLevel="0" collapsed="false">
      <c r="A142" s="13" t="n">
        <v>94573</v>
      </c>
      <c r="B142" s="21" t="s">
        <v>205</v>
      </c>
      <c r="C142" s="13" t="s">
        <v>206</v>
      </c>
      <c r="D142" s="14" t="s">
        <v>23</v>
      </c>
      <c r="E142" s="15" t="n">
        <f aca="false">4.6*1.91</f>
        <v>8.786</v>
      </c>
      <c r="F142" s="16" t="n">
        <v>375.31</v>
      </c>
      <c r="G142" s="16" t="n">
        <f aca="false">F142*1.25</f>
        <v>469.1375</v>
      </c>
      <c r="H142" s="16" t="n">
        <f aca="false">J142*0.6</f>
        <v>2474.24436</v>
      </c>
      <c r="I142" s="16" t="n">
        <f aca="false">J142*0.4</f>
        <v>1649.49624</v>
      </c>
      <c r="J142" s="16" t="n">
        <f aca="false">ROUND(E142,2)*(ROUND(G142,2))</f>
        <v>4123.7406</v>
      </c>
    </row>
    <row r="143" customFormat="false" ht="22.35" hidden="false" customHeight="false" outlineLevel="0" collapsed="false">
      <c r="A143" s="13" t="n">
        <v>99862</v>
      </c>
      <c r="B143" s="21" t="s">
        <v>196</v>
      </c>
      <c r="C143" s="13" t="s">
        <v>197</v>
      </c>
      <c r="D143" s="14" t="s">
        <v>23</v>
      </c>
      <c r="E143" s="15" t="n">
        <f aca="false">E139+E140</f>
        <v>46.5456</v>
      </c>
      <c r="F143" s="16" t="n">
        <v>530.39</v>
      </c>
      <c r="G143" s="16" t="n">
        <f aca="false">F143*1.25</f>
        <v>662.9875</v>
      </c>
      <c r="H143" s="16" t="n">
        <f aca="false">J143*0.6</f>
        <v>18517.3107</v>
      </c>
      <c r="I143" s="16" t="n">
        <f aca="false">J143*0.4</f>
        <v>12344.8738</v>
      </c>
      <c r="J143" s="16" t="n">
        <f aca="false">ROUND(E143,2)*(ROUND(G143,2))</f>
        <v>30862.1845</v>
      </c>
      <c r="K143" s="17"/>
    </row>
    <row r="144" customFormat="false" ht="32.8" hidden="false" customHeight="false" outlineLevel="0" collapsed="false">
      <c r="A144" s="13" t="s">
        <v>159</v>
      </c>
      <c r="B144" s="21" t="s">
        <v>207</v>
      </c>
      <c r="C144" s="13" t="s">
        <v>208</v>
      </c>
      <c r="D144" s="14" t="s">
        <v>23</v>
      </c>
      <c r="E144" s="15" t="n">
        <v>6.3</v>
      </c>
      <c r="F144" s="16" t="n">
        <v>350</v>
      </c>
      <c r="G144" s="16" t="n">
        <f aca="false">F144*1.25</f>
        <v>437.5</v>
      </c>
      <c r="H144" s="16" t="n">
        <f aca="false">J144*0.6</f>
        <v>1653.75</v>
      </c>
      <c r="I144" s="16" t="n">
        <f aca="false">J144*0.4</f>
        <v>1102.5</v>
      </c>
      <c r="J144" s="16" t="n">
        <f aca="false">ROUND(E144,2)*(ROUND(G144,2))</f>
        <v>2756.25</v>
      </c>
      <c r="K144" s="17"/>
    </row>
    <row r="145" customFormat="false" ht="13.8" hidden="false" customHeight="false" outlineLevel="0" collapsed="false">
      <c r="A145" s="18"/>
      <c r="B145" s="18"/>
      <c r="C145" s="18"/>
      <c r="D145" s="18"/>
      <c r="E145" s="18"/>
      <c r="F145" s="18"/>
      <c r="G145" s="18"/>
      <c r="H145" s="18"/>
      <c r="I145" s="19" t="s">
        <v>32</v>
      </c>
      <c r="J145" s="20" t="n">
        <f aca="false">SUM(J130:J144)</f>
        <v>102444.0262</v>
      </c>
    </row>
    <row r="146" customFormat="false" ht="13.8" hidden="false" customHeight="false" outlineLevel="0" collapsed="false">
      <c r="A146" s="11" t="s">
        <v>209</v>
      </c>
      <c r="B146" s="11"/>
      <c r="C146" s="11"/>
      <c r="D146" s="11"/>
      <c r="E146" s="11"/>
      <c r="F146" s="11"/>
      <c r="G146" s="11"/>
      <c r="H146" s="11"/>
      <c r="I146" s="11"/>
      <c r="J146" s="11"/>
    </row>
    <row r="147" customFormat="false" ht="22.35" hidden="false" customHeight="false" outlineLevel="0" collapsed="false">
      <c r="A147" s="13" t="n">
        <v>99814</v>
      </c>
      <c r="B147" s="21" t="s">
        <v>210</v>
      </c>
      <c r="C147" s="9" t="s">
        <v>211</v>
      </c>
      <c r="D147" s="21" t="s">
        <v>23</v>
      </c>
      <c r="E147" s="29" t="n">
        <f aca="false">E109+E119+8.98</f>
        <v>779.995</v>
      </c>
      <c r="F147" s="16" t="n">
        <v>1.6</v>
      </c>
      <c r="G147" s="30" t="n">
        <f aca="false">F147*1.25</f>
        <v>2</v>
      </c>
      <c r="H147" s="16" t="n">
        <f aca="false">J147*0.6</f>
        <v>936</v>
      </c>
      <c r="I147" s="16" t="n">
        <f aca="false">J147*0.4</f>
        <v>624</v>
      </c>
      <c r="J147" s="16" t="n">
        <f aca="false">ROUND(E147,2)*(ROUND(G147,2))</f>
        <v>1560</v>
      </c>
    </row>
    <row r="148" customFormat="false" ht="22.35" hidden="false" customHeight="false" outlineLevel="0" collapsed="false">
      <c r="A148" s="13" t="n">
        <v>102193</v>
      </c>
      <c r="B148" s="21" t="s">
        <v>212</v>
      </c>
      <c r="C148" s="9" t="s">
        <v>213</v>
      </c>
      <c r="D148" s="21" t="s">
        <v>23</v>
      </c>
      <c r="E148" s="29" t="n">
        <f aca="false">E147</f>
        <v>779.995</v>
      </c>
      <c r="F148" s="16" t="n">
        <v>1.52</v>
      </c>
      <c r="G148" s="30" t="n">
        <f aca="false">F148*1.25</f>
        <v>1.9</v>
      </c>
      <c r="H148" s="16" t="n">
        <f aca="false">J148*0.6</f>
        <v>889.2</v>
      </c>
      <c r="I148" s="16" t="n">
        <f aca="false">J148*0.4</f>
        <v>592.8</v>
      </c>
      <c r="J148" s="16" t="n">
        <f aca="false">ROUND(E148,2)*(ROUND(G148,2))</f>
        <v>1482</v>
      </c>
    </row>
    <row r="149" customFormat="false" ht="13.8" hidden="false" customHeight="false" outlineLevel="0" collapsed="false">
      <c r="A149" s="12" t="n">
        <v>100718</v>
      </c>
      <c r="B149" s="21" t="s">
        <v>214</v>
      </c>
      <c r="C149" s="13" t="s">
        <v>215</v>
      </c>
      <c r="D149" s="15" t="s">
        <v>38</v>
      </c>
      <c r="E149" s="15" t="n">
        <v>300</v>
      </c>
      <c r="F149" s="16" t="n">
        <v>1.07</v>
      </c>
      <c r="G149" s="30" t="n">
        <f aca="false">F149*1.25</f>
        <v>1.3375</v>
      </c>
      <c r="H149" s="16" t="n">
        <f aca="false">J149*0.6</f>
        <v>241.2</v>
      </c>
      <c r="I149" s="16" t="n">
        <f aca="false">J149*0.4</f>
        <v>160.8</v>
      </c>
      <c r="J149" s="16" t="n">
        <f aca="false">ROUND(E149,2)*(ROUND(G149,2))</f>
        <v>402</v>
      </c>
    </row>
    <row r="150" customFormat="false" ht="22.35" hidden="false" customHeight="false" outlineLevel="0" collapsed="false">
      <c r="A150" s="12" t="n">
        <v>88485</v>
      </c>
      <c r="B150" s="21" t="s">
        <v>216</v>
      </c>
      <c r="C150" s="13" t="s">
        <v>217</v>
      </c>
      <c r="D150" s="15" t="s">
        <v>23</v>
      </c>
      <c r="E150" s="15" t="n">
        <f aca="false">E147</f>
        <v>779.995</v>
      </c>
      <c r="F150" s="16" t="n">
        <v>2.08</v>
      </c>
      <c r="G150" s="30" t="n">
        <f aca="false">F150*1.25</f>
        <v>2.6</v>
      </c>
      <c r="H150" s="16" t="n">
        <f aca="false">J150*0.6</f>
        <v>1216.8</v>
      </c>
      <c r="I150" s="16" t="n">
        <f aca="false">J150*0.4</f>
        <v>811.2</v>
      </c>
      <c r="J150" s="16" t="n">
        <f aca="false">ROUND(E150,2)*(ROUND(G150,2))</f>
        <v>2028</v>
      </c>
    </row>
    <row r="151" customFormat="false" ht="22.35" hidden="false" customHeight="false" outlineLevel="0" collapsed="false">
      <c r="A151" s="12" t="n">
        <v>88489</v>
      </c>
      <c r="B151" s="21" t="s">
        <v>218</v>
      </c>
      <c r="C151" s="13" t="s">
        <v>219</v>
      </c>
      <c r="D151" s="15" t="s">
        <v>23</v>
      </c>
      <c r="E151" s="15" t="n">
        <f aca="false">E150</f>
        <v>779.995</v>
      </c>
      <c r="F151" s="16" t="n">
        <v>13.85</v>
      </c>
      <c r="G151" s="30" t="n">
        <f aca="false">F151*1.25</f>
        <v>17.3125</v>
      </c>
      <c r="H151" s="16" t="n">
        <f aca="false">J151*0.6</f>
        <v>8101.08</v>
      </c>
      <c r="I151" s="16" t="n">
        <f aca="false">J151*0.4</f>
        <v>5400.72</v>
      </c>
      <c r="J151" s="16" t="n">
        <f aca="false">ROUND(E151,2)*(ROUND(G151,2))</f>
        <v>13501.8</v>
      </c>
    </row>
    <row r="152" customFormat="false" ht="22.35" hidden="false" customHeight="false" outlineLevel="0" collapsed="false">
      <c r="A152" s="12" t="n">
        <v>88484</v>
      </c>
      <c r="B152" s="21" t="s">
        <v>220</v>
      </c>
      <c r="C152" s="13" t="s">
        <v>221</v>
      </c>
      <c r="D152" s="15" t="s">
        <v>23</v>
      </c>
      <c r="E152" s="15" t="n">
        <f aca="false">E114</f>
        <v>163.49</v>
      </c>
      <c r="F152" s="16" t="n">
        <v>2.44</v>
      </c>
      <c r="G152" s="30" t="n">
        <f aca="false">F152*1.25</f>
        <v>3.05</v>
      </c>
      <c r="H152" s="16" t="n">
        <f aca="false">J152*0.6</f>
        <v>299.1867</v>
      </c>
      <c r="I152" s="16" t="n">
        <f aca="false">J152*0.4</f>
        <v>199.4578</v>
      </c>
      <c r="J152" s="16" t="n">
        <f aca="false">ROUND(E152,2)*(ROUND(G152,2))</f>
        <v>498.6445</v>
      </c>
    </row>
    <row r="153" customFormat="false" ht="22.35" hidden="false" customHeight="false" outlineLevel="0" collapsed="false">
      <c r="A153" s="12" t="n">
        <v>88488</v>
      </c>
      <c r="B153" s="21" t="s">
        <v>222</v>
      </c>
      <c r="C153" s="13" t="s">
        <v>223</v>
      </c>
      <c r="D153" s="15" t="s">
        <v>23</v>
      </c>
      <c r="E153" s="15" t="n">
        <f aca="false">E115</f>
        <v>163.49</v>
      </c>
      <c r="F153" s="16" t="n">
        <v>15.49</v>
      </c>
      <c r="G153" s="30" t="n">
        <f aca="false">F153*1.25</f>
        <v>19.3625</v>
      </c>
      <c r="H153" s="16" t="n">
        <f aca="false">J153*0.6</f>
        <v>1899.09984</v>
      </c>
      <c r="I153" s="16" t="n">
        <f aca="false">J153*0.4</f>
        <v>1266.06656</v>
      </c>
      <c r="J153" s="16" t="n">
        <f aca="false">ROUND(E153,2)*(ROUND(G153,2))</f>
        <v>3165.1664</v>
      </c>
    </row>
    <row r="154" customFormat="false" ht="13.8" hidden="false" customHeight="false" outlineLevel="0" collapsed="false">
      <c r="A154" s="18"/>
      <c r="B154" s="18"/>
      <c r="C154" s="18"/>
      <c r="D154" s="18"/>
      <c r="E154" s="18"/>
      <c r="F154" s="18"/>
      <c r="G154" s="18"/>
      <c r="H154" s="18"/>
      <c r="I154" s="19" t="s">
        <v>32</v>
      </c>
      <c r="J154" s="20" t="n">
        <f aca="false">SUM(J147:J153)</f>
        <v>22637.6109</v>
      </c>
    </row>
    <row r="155" customFormat="false" ht="13.8" hidden="false" customHeight="false" outlineLevel="0" collapsed="false">
      <c r="A155" s="11" t="s">
        <v>224</v>
      </c>
      <c r="B155" s="11"/>
      <c r="C155" s="11"/>
      <c r="D155" s="11"/>
      <c r="E155" s="11"/>
      <c r="F155" s="11"/>
      <c r="G155" s="11"/>
      <c r="H155" s="11"/>
      <c r="I155" s="11"/>
      <c r="J155" s="11"/>
    </row>
    <row r="156" customFormat="false" ht="22.35" hidden="false" customHeight="false" outlineLevel="0" collapsed="false">
      <c r="A156" s="12" t="n">
        <v>100848</v>
      </c>
      <c r="B156" s="21" t="s">
        <v>225</v>
      </c>
      <c r="C156" s="13" t="s">
        <v>226</v>
      </c>
      <c r="D156" s="14" t="s">
        <v>27</v>
      </c>
      <c r="E156" s="15" t="n">
        <v>10</v>
      </c>
      <c r="F156" s="16" t="n">
        <v>387.37</v>
      </c>
      <c r="G156" s="16" t="n">
        <f aca="false">F156*1.25</f>
        <v>484.2125</v>
      </c>
      <c r="H156" s="16" t="n">
        <f aca="false">J156*0.6</f>
        <v>2905.26</v>
      </c>
      <c r="I156" s="16" t="n">
        <f aca="false">J156*0.4</f>
        <v>1936.84</v>
      </c>
      <c r="J156" s="16" t="n">
        <f aca="false">ROUND(E156,2)*(ROUND(G156,2))</f>
        <v>4842.1</v>
      </c>
    </row>
    <row r="157" customFormat="false" ht="22.35" hidden="false" customHeight="false" outlineLevel="0" collapsed="false">
      <c r="A157" s="12" t="n">
        <v>100851</v>
      </c>
      <c r="B157" s="21" t="s">
        <v>227</v>
      </c>
      <c r="C157" s="13" t="s">
        <v>228</v>
      </c>
      <c r="D157" s="14" t="s">
        <v>27</v>
      </c>
      <c r="E157" s="15" t="n">
        <v>10</v>
      </c>
      <c r="F157" s="16" t="n">
        <v>79.62</v>
      </c>
      <c r="G157" s="16" t="n">
        <f aca="false">F157*1.25</f>
        <v>99.525</v>
      </c>
      <c r="H157" s="16" t="n">
        <f aca="false">J157*0.6</f>
        <v>597.18</v>
      </c>
      <c r="I157" s="16" t="n">
        <f aca="false">J157*0.4</f>
        <v>398.12</v>
      </c>
      <c r="J157" s="16" t="n">
        <f aca="false">ROUND(E157,2)*(ROUND(G157,2))</f>
        <v>995.3</v>
      </c>
    </row>
    <row r="158" customFormat="false" ht="22.35" hidden="false" customHeight="false" outlineLevel="0" collapsed="false">
      <c r="A158" s="12" t="n">
        <v>86884</v>
      </c>
      <c r="B158" s="21" t="s">
        <v>229</v>
      </c>
      <c r="C158" s="13" t="s">
        <v>230</v>
      </c>
      <c r="D158" s="14" t="s">
        <v>27</v>
      </c>
      <c r="E158" s="15" t="n">
        <v>10</v>
      </c>
      <c r="F158" s="16" t="n">
        <v>9.4</v>
      </c>
      <c r="G158" s="16" t="n">
        <f aca="false">F158*1.25</f>
        <v>11.75</v>
      </c>
      <c r="H158" s="16" t="n">
        <f aca="false">J158*0.6</f>
        <v>70.5</v>
      </c>
      <c r="I158" s="16" t="n">
        <f aca="false">J158*0.4</f>
        <v>47</v>
      </c>
      <c r="J158" s="16" t="n">
        <f aca="false">ROUND(E158,2)*(ROUND(G158,2))</f>
        <v>117.5</v>
      </c>
    </row>
    <row r="159" customFormat="false" ht="22.35" hidden="false" customHeight="false" outlineLevel="0" collapsed="false">
      <c r="A159" s="13" t="s">
        <v>159</v>
      </c>
      <c r="B159" s="21" t="s">
        <v>231</v>
      </c>
      <c r="C159" s="13" t="s">
        <v>232</v>
      </c>
      <c r="D159" s="14" t="s">
        <v>27</v>
      </c>
      <c r="E159" s="15" t="n">
        <v>10</v>
      </c>
      <c r="F159" s="16" t="n">
        <f aca="false">174.9+(174.9*0.4)</f>
        <v>244.86</v>
      </c>
      <c r="G159" s="16" t="n">
        <f aca="false">F159*1.25</f>
        <v>306.075</v>
      </c>
      <c r="H159" s="16" t="n">
        <f aca="false">J159*0.6</f>
        <v>1836.48</v>
      </c>
      <c r="I159" s="16" t="n">
        <f aca="false">J159*0.4</f>
        <v>1224.32</v>
      </c>
      <c r="J159" s="16" t="n">
        <f aca="false">ROUND(E159,2)*(ROUND(G159,2))</f>
        <v>3060.8</v>
      </c>
    </row>
    <row r="160" customFormat="false" ht="53.7" hidden="false" customHeight="false" outlineLevel="0" collapsed="false">
      <c r="A160" s="12" t="n">
        <v>95472</v>
      </c>
      <c r="B160" s="21" t="s">
        <v>233</v>
      </c>
      <c r="C160" s="13" t="s">
        <v>234</v>
      </c>
      <c r="D160" s="14" t="s">
        <v>27</v>
      </c>
      <c r="E160" s="15" t="n">
        <v>1</v>
      </c>
      <c r="F160" s="16" t="n">
        <v>554.47</v>
      </c>
      <c r="G160" s="16" t="n">
        <f aca="false">F160*1.25</f>
        <v>693.0875</v>
      </c>
      <c r="H160" s="16" t="n">
        <f aca="false">J160*0.6</f>
        <v>415.854</v>
      </c>
      <c r="I160" s="16" t="n">
        <f aca="false">J160*0.4</f>
        <v>277.236</v>
      </c>
      <c r="J160" s="16" t="n">
        <f aca="false">ROUND(E160,2)*(ROUND(G160,2))</f>
        <v>693.09</v>
      </c>
    </row>
    <row r="161" customFormat="false" ht="22.35" hidden="false" customHeight="false" outlineLevel="0" collapsed="false">
      <c r="A161" s="12" t="n">
        <v>100849</v>
      </c>
      <c r="B161" s="21" t="s">
        <v>235</v>
      </c>
      <c r="C161" s="13" t="s">
        <v>236</v>
      </c>
      <c r="D161" s="14" t="s">
        <v>27</v>
      </c>
      <c r="E161" s="15" t="n">
        <v>1</v>
      </c>
      <c r="F161" s="16" t="n">
        <v>39.63</v>
      </c>
      <c r="G161" s="16" t="n">
        <f aca="false">F161*1.25</f>
        <v>49.5375</v>
      </c>
      <c r="H161" s="16" t="n">
        <f aca="false">J161*0.6</f>
        <v>29.724</v>
      </c>
      <c r="I161" s="16" t="n">
        <f aca="false">J161*0.4</f>
        <v>19.816</v>
      </c>
      <c r="J161" s="16" t="n">
        <f aca="false">ROUND(E161,2)*(ROUND(G161,2))</f>
        <v>49.54</v>
      </c>
    </row>
    <row r="162" customFormat="false" ht="22.35" hidden="false" customHeight="false" outlineLevel="0" collapsed="false">
      <c r="A162" s="12" t="n">
        <v>95544</v>
      </c>
      <c r="B162" s="21" t="s">
        <v>237</v>
      </c>
      <c r="C162" s="13" t="s">
        <v>238</v>
      </c>
      <c r="D162" s="14" t="s">
        <v>27</v>
      </c>
      <c r="E162" s="15" t="n">
        <v>11</v>
      </c>
      <c r="F162" s="16" t="n">
        <v>68.52</v>
      </c>
      <c r="G162" s="16" t="n">
        <f aca="false">F162*1.25</f>
        <v>85.65</v>
      </c>
      <c r="H162" s="16" t="n">
        <f aca="false">J162*0.6</f>
        <v>565.29</v>
      </c>
      <c r="I162" s="16" t="n">
        <f aca="false">J162*0.4</f>
        <v>376.86</v>
      </c>
      <c r="J162" s="16" t="n">
        <f aca="false">ROUND(E162,2)*(ROUND(G162,2))</f>
        <v>942.15</v>
      </c>
    </row>
    <row r="163" customFormat="false" ht="32.8" hidden="false" customHeight="false" outlineLevel="0" collapsed="false">
      <c r="A163" s="12" t="n">
        <v>95547</v>
      </c>
      <c r="B163" s="21" t="s">
        <v>239</v>
      </c>
      <c r="C163" s="13" t="s">
        <v>240</v>
      </c>
      <c r="D163" s="14" t="s">
        <v>27</v>
      </c>
      <c r="E163" s="15" t="n">
        <v>5</v>
      </c>
      <c r="F163" s="16" t="n">
        <v>49.59</v>
      </c>
      <c r="G163" s="16" t="n">
        <f aca="false">F163*1.25</f>
        <v>61.9875</v>
      </c>
      <c r="H163" s="16" t="n">
        <f aca="false">J163*0.6</f>
        <v>185.97</v>
      </c>
      <c r="I163" s="16" t="n">
        <f aca="false">J163*0.4</f>
        <v>123.98</v>
      </c>
      <c r="J163" s="16" t="n">
        <f aca="false">ROUND(E163,2)*(ROUND(G163,2))</f>
        <v>309.95</v>
      </c>
    </row>
    <row r="164" customFormat="false" ht="22.35" hidden="false" customHeight="false" outlineLevel="0" collapsed="false">
      <c r="A164" s="12" t="s">
        <v>241</v>
      </c>
      <c r="B164" s="21" t="s">
        <v>242</v>
      </c>
      <c r="C164" s="13" t="s">
        <v>243</v>
      </c>
      <c r="D164" s="14" t="s">
        <v>27</v>
      </c>
      <c r="E164" s="15" t="n">
        <v>5</v>
      </c>
      <c r="F164" s="16" t="n">
        <v>42.66</v>
      </c>
      <c r="G164" s="16" t="n">
        <f aca="false">F164*1.25</f>
        <v>53.325</v>
      </c>
      <c r="H164" s="16" t="n">
        <f aca="false">J164*0.6</f>
        <v>159.99</v>
      </c>
      <c r="I164" s="16" t="n">
        <f aca="false">J164*0.4</f>
        <v>106.66</v>
      </c>
      <c r="J164" s="16" t="n">
        <f aca="false">ROUND(E164,2)*(ROUND(G164,2))</f>
        <v>266.65</v>
      </c>
    </row>
    <row r="165" customFormat="false" ht="32.8" hidden="false" customHeight="false" outlineLevel="0" collapsed="false">
      <c r="A165" s="12" t="n">
        <v>100868</v>
      </c>
      <c r="B165" s="21" t="s">
        <v>244</v>
      </c>
      <c r="C165" s="13" t="s">
        <v>245</v>
      </c>
      <c r="D165" s="14" t="s">
        <v>27</v>
      </c>
      <c r="E165" s="15" t="n">
        <v>2</v>
      </c>
      <c r="F165" s="16" t="n">
        <v>339.93</v>
      </c>
      <c r="G165" s="16" t="n">
        <f aca="false">F165*1.25</f>
        <v>424.9125</v>
      </c>
      <c r="H165" s="16" t="n">
        <f aca="false">J165*0.6</f>
        <v>509.892</v>
      </c>
      <c r="I165" s="16" t="n">
        <f aca="false">J165*0.4</f>
        <v>339.928</v>
      </c>
      <c r="J165" s="16" t="n">
        <f aca="false">ROUND(E165,2)*(ROUND(G165,2))</f>
        <v>849.82</v>
      </c>
    </row>
    <row r="166" customFormat="false" ht="64.15" hidden="false" customHeight="false" outlineLevel="0" collapsed="false">
      <c r="A166" s="12" t="n">
        <v>86943</v>
      </c>
      <c r="B166" s="21" t="s">
        <v>246</v>
      </c>
      <c r="C166" s="13" t="s">
        <v>247</v>
      </c>
      <c r="D166" s="14" t="s">
        <v>27</v>
      </c>
      <c r="E166" s="15" t="n">
        <v>1</v>
      </c>
      <c r="F166" s="16" t="n">
        <v>217.06</v>
      </c>
      <c r="G166" s="16" t="n">
        <f aca="false">F166*1.25</f>
        <v>271.325</v>
      </c>
      <c r="H166" s="16" t="n">
        <f aca="false">J166*0.6</f>
        <v>162.798</v>
      </c>
      <c r="I166" s="16" t="n">
        <f aca="false">J166*0.4</f>
        <v>108.532</v>
      </c>
      <c r="J166" s="16" t="n">
        <f aca="false">ROUND(E166,2)*(ROUND(G166,2))</f>
        <v>271.33</v>
      </c>
    </row>
    <row r="167" customFormat="false" ht="32.8" hidden="false" customHeight="false" outlineLevel="0" collapsed="false">
      <c r="A167" s="12" t="s">
        <v>248</v>
      </c>
      <c r="B167" s="21" t="s">
        <v>249</v>
      </c>
      <c r="C167" s="13" t="s">
        <v>250</v>
      </c>
      <c r="D167" s="14" t="s">
        <v>23</v>
      </c>
      <c r="E167" s="15" t="n">
        <f aca="false">(2.4*0.6)*2</f>
        <v>2.88</v>
      </c>
      <c r="F167" s="16" t="n">
        <v>552.6</v>
      </c>
      <c r="G167" s="16" t="n">
        <f aca="false">F167*1.25</f>
        <v>690.75</v>
      </c>
      <c r="H167" s="16" t="n">
        <f aca="false">J167*0.6</f>
        <v>1193.616</v>
      </c>
      <c r="I167" s="16" t="n">
        <f aca="false">J167*0.4</f>
        <v>795.744</v>
      </c>
      <c r="J167" s="16" t="n">
        <f aca="false">ROUND(E167,2)*(ROUND(G167,2))</f>
        <v>1989.36</v>
      </c>
    </row>
    <row r="168" customFormat="false" ht="43.25" hidden="false" customHeight="false" outlineLevel="0" collapsed="false">
      <c r="A168" s="12" t="n">
        <v>86937</v>
      </c>
      <c r="B168" s="21" t="s">
        <v>251</v>
      </c>
      <c r="C168" s="13" t="s">
        <v>252</v>
      </c>
      <c r="D168" s="14" t="s">
        <v>27</v>
      </c>
      <c r="E168" s="15" t="n">
        <v>8</v>
      </c>
      <c r="F168" s="16" t="n">
        <v>171.66</v>
      </c>
      <c r="G168" s="16" t="n">
        <f aca="false">F168*1.25</f>
        <v>214.575</v>
      </c>
      <c r="H168" s="16" t="n">
        <f aca="false">J168*0.6</f>
        <v>1029.984</v>
      </c>
      <c r="I168" s="16" t="n">
        <f aca="false">J168*0.4</f>
        <v>686.656</v>
      </c>
      <c r="J168" s="16" t="n">
        <f aca="false">ROUND(E168,2)*(ROUND(G168,2))</f>
        <v>1716.64</v>
      </c>
    </row>
    <row r="169" customFormat="false" ht="22.35" hidden="false" customHeight="false" outlineLevel="0" collapsed="false">
      <c r="A169" s="12" t="n">
        <v>86884</v>
      </c>
      <c r="B169" s="21" t="s">
        <v>253</v>
      </c>
      <c r="C169" s="13" t="s">
        <v>230</v>
      </c>
      <c r="D169" s="14" t="s">
        <v>27</v>
      </c>
      <c r="E169" s="15" t="n">
        <v>8</v>
      </c>
      <c r="F169" s="16" t="n">
        <v>9.4</v>
      </c>
      <c r="G169" s="16" t="n">
        <f aca="false">F169*1.25</f>
        <v>11.75</v>
      </c>
      <c r="H169" s="16" t="n">
        <f aca="false">J169*0.6</f>
        <v>56.4</v>
      </c>
      <c r="I169" s="16" t="n">
        <f aca="false">J169*0.4</f>
        <v>37.6</v>
      </c>
      <c r="J169" s="16" t="n">
        <f aca="false">ROUND(E169,2)*(ROUND(G169,2))</f>
        <v>94</v>
      </c>
    </row>
    <row r="170" customFormat="false" ht="32.8" hidden="false" customHeight="false" outlineLevel="0" collapsed="false">
      <c r="A170" s="12" t="n">
        <v>86915</v>
      </c>
      <c r="B170" s="21" t="s">
        <v>254</v>
      </c>
      <c r="C170" s="13" t="s">
        <v>255</v>
      </c>
      <c r="D170" s="14" t="s">
        <v>27</v>
      </c>
      <c r="E170" s="15" t="n">
        <v>8</v>
      </c>
      <c r="F170" s="16" t="n">
        <v>140.11</v>
      </c>
      <c r="G170" s="16" t="n">
        <f aca="false">F170*1.25</f>
        <v>175.1375</v>
      </c>
      <c r="H170" s="16" t="n">
        <f aca="false">J170*0.6</f>
        <v>840.672</v>
      </c>
      <c r="I170" s="16" t="n">
        <f aca="false">J170*0.4</f>
        <v>560.448</v>
      </c>
      <c r="J170" s="16" t="n">
        <f aca="false">ROUND(E170,2)*(ROUND(G170,2))</f>
        <v>1401.12</v>
      </c>
    </row>
    <row r="171" customFormat="false" ht="22.35" hidden="false" customHeight="false" outlineLevel="0" collapsed="false">
      <c r="A171" s="12" t="s">
        <v>256</v>
      </c>
      <c r="B171" s="21" t="s">
        <v>257</v>
      </c>
      <c r="C171" s="13" t="s">
        <v>258</v>
      </c>
      <c r="D171" s="14" t="s">
        <v>27</v>
      </c>
      <c r="E171" s="15" t="n">
        <v>8</v>
      </c>
      <c r="F171" s="16" t="n">
        <f aca="false">31.52+(31.52*0.4)</f>
        <v>44.128</v>
      </c>
      <c r="G171" s="16" t="n">
        <f aca="false">F171*1.25</f>
        <v>55.16</v>
      </c>
      <c r="H171" s="16" t="n">
        <f aca="false">J171*0.6</f>
        <v>264.768</v>
      </c>
      <c r="I171" s="16" t="n">
        <f aca="false">J171*0.4</f>
        <v>176.512</v>
      </c>
      <c r="J171" s="16" t="n">
        <f aca="false">ROUND(E171,2)*(ROUND(G171,2))</f>
        <v>441.28</v>
      </c>
    </row>
    <row r="172" customFormat="false" ht="32.8" hidden="false" customHeight="false" outlineLevel="0" collapsed="false">
      <c r="A172" s="12" t="s">
        <v>259</v>
      </c>
      <c r="B172" s="21" t="s">
        <v>260</v>
      </c>
      <c r="C172" s="13" t="s">
        <v>261</v>
      </c>
      <c r="D172" s="14" t="s">
        <v>27</v>
      </c>
      <c r="E172" s="15" t="n">
        <v>12</v>
      </c>
      <c r="F172" s="16" t="n">
        <v>17.59</v>
      </c>
      <c r="G172" s="16" t="n">
        <f aca="false">F172*1.25</f>
        <v>21.9875</v>
      </c>
      <c r="H172" s="16" t="n">
        <f aca="false">J172*0.6</f>
        <v>158.328</v>
      </c>
      <c r="I172" s="16" t="n">
        <f aca="false">J172*0.4</f>
        <v>105.552</v>
      </c>
      <c r="J172" s="16" t="n">
        <f aca="false">ROUND(E172,2)*(ROUND(G172,2))</f>
        <v>263.88</v>
      </c>
    </row>
    <row r="173" customFormat="false" ht="13.8" hidden="false" customHeight="false" outlineLevel="0" collapsed="false">
      <c r="A173" s="18"/>
      <c r="B173" s="18"/>
      <c r="C173" s="18"/>
      <c r="D173" s="18"/>
      <c r="E173" s="18"/>
      <c r="F173" s="18"/>
      <c r="G173" s="18"/>
      <c r="H173" s="18"/>
      <c r="I173" s="19" t="s">
        <v>32</v>
      </c>
      <c r="J173" s="20" t="n">
        <f aca="false">SUM(J156:J172)</f>
        <v>18304.51</v>
      </c>
    </row>
    <row r="174" customFormat="false" ht="13.8" hidden="false" customHeight="false" outlineLevel="0" collapsed="false">
      <c r="A174" s="11" t="s">
        <v>262</v>
      </c>
      <c r="B174" s="11"/>
      <c r="C174" s="11"/>
      <c r="D174" s="11"/>
      <c r="E174" s="11"/>
      <c r="F174" s="11"/>
      <c r="G174" s="11"/>
      <c r="H174" s="11"/>
      <c r="I174" s="11"/>
      <c r="J174" s="11"/>
    </row>
    <row r="175" customFormat="false" ht="53.7" hidden="false" customHeight="false" outlineLevel="0" collapsed="false">
      <c r="A175" s="31" t="n">
        <v>91793</v>
      </c>
      <c r="B175" s="21" t="s">
        <v>263</v>
      </c>
      <c r="C175" s="22" t="s">
        <v>264</v>
      </c>
      <c r="D175" s="14" t="s">
        <v>38</v>
      </c>
      <c r="E175" s="14" t="n">
        <f aca="false">((2+1.3+0.7)*2)+2</f>
        <v>10</v>
      </c>
      <c r="F175" s="16" t="n">
        <v>84.18</v>
      </c>
      <c r="G175" s="16" t="n">
        <f aca="false">F175*1.25</f>
        <v>105.225</v>
      </c>
      <c r="H175" s="16" t="n">
        <f aca="false">J175*0.6</f>
        <v>631.38</v>
      </c>
      <c r="I175" s="16" t="n">
        <f aca="false">J175*0.4</f>
        <v>420.92</v>
      </c>
      <c r="J175" s="16" t="n">
        <f aca="false">ROUND(E175,2)*(ROUND(G175,2))</f>
        <v>1052.3</v>
      </c>
    </row>
    <row r="176" customFormat="false" ht="64.15" hidden="false" customHeight="false" outlineLevel="0" collapsed="false">
      <c r="A176" s="31" t="n">
        <v>91795</v>
      </c>
      <c r="B176" s="21" t="s">
        <v>265</v>
      </c>
      <c r="C176" s="22" t="s">
        <v>266</v>
      </c>
      <c r="D176" s="14" t="s">
        <v>38</v>
      </c>
      <c r="E176" s="14" t="n">
        <f aca="false">(1.5*10)+6+6+1+2.7+9.5+8.5+1+1.3</f>
        <v>51</v>
      </c>
      <c r="F176" s="16" t="n">
        <v>71.75</v>
      </c>
      <c r="G176" s="16" t="n">
        <f aca="false">F176*1.25</f>
        <v>89.6875</v>
      </c>
      <c r="H176" s="16" t="n">
        <f aca="false">J176*0.6</f>
        <v>2744.514</v>
      </c>
      <c r="I176" s="16" t="n">
        <f aca="false">J176*0.4</f>
        <v>1829.676</v>
      </c>
      <c r="J176" s="16" t="n">
        <f aca="false">ROUND(E176,2)*(ROUND(G176,2))</f>
        <v>4574.19</v>
      </c>
    </row>
    <row r="177" customFormat="false" ht="32.8" hidden="false" customHeight="false" outlineLevel="0" collapsed="false">
      <c r="A177" s="31" t="n">
        <v>89707</v>
      </c>
      <c r="B177" s="21" t="s">
        <v>267</v>
      </c>
      <c r="C177" s="22" t="s">
        <v>268</v>
      </c>
      <c r="D177" s="14" t="s">
        <v>27</v>
      </c>
      <c r="E177" s="14" t="n">
        <v>5</v>
      </c>
      <c r="F177" s="16" t="n">
        <v>34.14</v>
      </c>
      <c r="G177" s="16" t="n">
        <f aca="false">F177*1.25</f>
        <v>42.675</v>
      </c>
      <c r="H177" s="16" t="n">
        <f aca="false">J177*0.6</f>
        <v>128.04</v>
      </c>
      <c r="I177" s="16" t="n">
        <f aca="false">J177*0.4</f>
        <v>85.36</v>
      </c>
      <c r="J177" s="16" t="n">
        <f aca="false">ROUND(E177,2)*(ROUND(G177,2))</f>
        <v>213.4</v>
      </c>
    </row>
    <row r="178" customFormat="false" ht="22.35" hidden="false" customHeight="false" outlineLevel="0" collapsed="false">
      <c r="A178" s="31" t="n">
        <v>93358</v>
      </c>
      <c r="B178" s="21" t="s">
        <v>269</v>
      </c>
      <c r="C178" s="22" t="s">
        <v>270</v>
      </c>
      <c r="D178" s="14" t="s">
        <v>41</v>
      </c>
      <c r="E178" s="14" t="n">
        <f aca="false">(0.7*0.7*0.3*2)+(0.8*0.8*0.4)+((2.7+9.5)*1*0.2)+((8.5+1)*1.5*0.52)+(24.07*1*0.5)+0.56</f>
        <v>22.995</v>
      </c>
      <c r="F178" s="16" t="n">
        <v>70.25</v>
      </c>
      <c r="G178" s="16" t="n">
        <f aca="false">F178*1.25</f>
        <v>87.8125</v>
      </c>
      <c r="H178" s="16" t="n">
        <f aca="false">J178*0.6</f>
        <v>1211.778</v>
      </c>
      <c r="I178" s="16" t="n">
        <f aca="false">J178*0.4</f>
        <v>807.852</v>
      </c>
      <c r="J178" s="16" t="n">
        <f aca="false">ROUND(E178,2)*(ROUND(G178,2))</f>
        <v>2019.63</v>
      </c>
    </row>
    <row r="179" customFormat="false" ht="43.25" hidden="false" customHeight="false" outlineLevel="0" collapsed="false">
      <c r="A179" s="31" t="n">
        <v>97900</v>
      </c>
      <c r="B179" s="21" t="s">
        <v>271</v>
      </c>
      <c r="C179" s="22" t="s">
        <v>272</v>
      </c>
      <c r="D179" s="14" t="s">
        <v>27</v>
      </c>
      <c r="E179" s="14" t="n">
        <v>2</v>
      </c>
      <c r="F179" s="16" t="n">
        <v>172</v>
      </c>
      <c r="G179" s="16" t="n">
        <f aca="false">F179*1.25</f>
        <v>215</v>
      </c>
      <c r="H179" s="16" t="n">
        <f aca="false">J179*0.6</f>
        <v>258</v>
      </c>
      <c r="I179" s="16" t="n">
        <f aca="false">J179*0.4</f>
        <v>172</v>
      </c>
      <c r="J179" s="16" t="n">
        <f aca="false">ROUND(E179,2)*(ROUND(G179,2))</f>
        <v>430</v>
      </c>
    </row>
    <row r="180" customFormat="false" ht="43.25" hidden="false" customHeight="false" outlineLevel="0" collapsed="false">
      <c r="A180" s="31" t="n">
        <v>97901</v>
      </c>
      <c r="B180" s="21" t="s">
        <v>273</v>
      </c>
      <c r="C180" s="22" t="s">
        <v>274</v>
      </c>
      <c r="D180" s="14" t="s">
        <v>27</v>
      </c>
      <c r="E180" s="14" t="n">
        <v>1</v>
      </c>
      <c r="F180" s="16" t="n">
        <v>273.4</v>
      </c>
      <c r="G180" s="16" t="n">
        <f aca="false">F180*1.25</f>
        <v>341.75</v>
      </c>
      <c r="H180" s="16" t="n">
        <f aca="false">J180*0.6</f>
        <v>205.05</v>
      </c>
      <c r="I180" s="16" t="n">
        <f aca="false">J180*0.4</f>
        <v>136.7</v>
      </c>
      <c r="J180" s="16" t="n">
        <f aca="false">ROUND(E180,2)*(ROUND(G180,2))</f>
        <v>341.75</v>
      </c>
    </row>
    <row r="181" customFormat="false" ht="32.8" hidden="false" customHeight="false" outlineLevel="0" collapsed="false">
      <c r="A181" s="31" t="n">
        <v>98053</v>
      </c>
      <c r="B181" s="21" t="s">
        <v>275</v>
      </c>
      <c r="C181" s="22" t="s">
        <v>276</v>
      </c>
      <c r="D181" s="14" t="s">
        <v>27</v>
      </c>
      <c r="E181" s="14" t="n">
        <v>1</v>
      </c>
      <c r="F181" s="16" t="n">
        <v>2484.92</v>
      </c>
      <c r="G181" s="16" t="n">
        <f aca="false">F181*1.25</f>
        <v>3106.15</v>
      </c>
      <c r="H181" s="16" t="n">
        <f aca="false">J181*0.6</f>
        <v>1863.69</v>
      </c>
      <c r="I181" s="16" t="n">
        <f aca="false">J181*0.4</f>
        <v>1242.46</v>
      </c>
      <c r="J181" s="16" t="n">
        <f aca="false">ROUND(E181,2)*(ROUND(G181,2))</f>
        <v>3106.15</v>
      </c>
    </row>
    <row r="182" customFormat="false" ht="32.8" hidden="false" customHeight="false" outlineLevel="0" collapsed="false">
      <c r="A182" s="31" t="n">
        <v>98058</v>
      </c>
      <c r="B182" s="21" t="s">
        <v>277</v>
      </c>
      <c r="C182" s="22" t="s">
        <v>278</v>
      </c>
      <c r="D182" s="14" t="s">
        <v>27</v>
      </c>
      <c r="E182" s="14" t="n">
        <v>1</v>
      </c>
      <c r="F182" s="16" t="n">
        <v>1536.37</v>
      </c>
      <c r="G182" s="16" t="n">
        <f aca="false">F182*1.25</f>
        <v>1920.4625</v>
      </c>
      <c r="H182" s="16" t="n">
        <f aca="false">J182*0.6</f>
        <v>1152.276</v>
      </c>
      <c r="I182" s="16" t="n">
        <f aca="false">J182*0.4</f>
        <v>768.184</v>
      </c>
      <c r="J182" s="16" t="n">
        <f aca="false">ROUND(E182,2)*(ROUND(G182,2))</f>
        <v>1920.46</v>
      </c>
    </row>
    <row r="183" customFormat="false" ht="43.25" hidden="false" customHeight="false" outlineLevel="0" collapsed="false">
      <c r="A183" s="31" t="n">
        <v>98080</v>
      </c>
      <c r="B183" s="21" t="s">
        <v>279</v>
      </c>
      <c r="C183" s="22" t="s">
        <v>280</v>
      </c>
      <c r="D183" s="14" t="s">
        <v>27</v>
      </c>
      <c r="E183" s="14" t="n">
        <v>1</v>
      </c>
      <c r="F183" s="16" t="n">
        <v>9422.75</v>
      </c>
      <c r="G183" s="16" t="n">
        <f aca="false">F183*1.25</f>
        <v>11778.4375</v>
      </c>
      <c r="H183" s="16" t="n">
        <f aca="false">J183*0.6</f>
        <v>7067.064</v>
      </c>
      <c r="I183" s="16" t="n">
        <f aca="false">J183*0.4</f>
        <v>4711.376</v>
      </c>
      <c r="J183" s="16" t="n">
        <f aca="false">ROUND(E183,2)*(ROUND(G183,2))</f>
        <v>11778.44</v>
      </c>
    </row>
    <row r="184" customFormat="false" ht="13.8" hidden="false" customHeight="false" outlineLevel="0" collapsed="false">
      <c r="A184" s="31" t="n">
        <v>96995</v>
      </c>
      <c r="B184" s="21" t="s">
        <v>281</v>
      </c>
      <c r="C184" s="22" t="s">
        <v>45</v>
      </c>
      <c r="D184" s="14" t="s">
        <v>41</v>
      </c>
      <c r="E184" s="14" t="n">
        <v>5</v>
      </c>
      <c r="F184" s="16" t="n">
        <v>42.59</v>
      </c>
      <c r="G184" s="16" t="n">
        <f aca="false">F184*1.25</f>
        <v>53.2375</v>
      </c>
      <c r="H184" s="16" t="n">
        <f aca="false">J184*0.6</f>
        <v>159.72</v>
      </c>
      <c r="I184" s="16" t="n">
        <f aca="false">J184*0.4</f>
        <v>106.48</v>
      </c>
      <c r="J184" s="16" t="n">
        <f aca="false">ROUND(E184,2)*(ROUND(G184,2))</f>
        <v>266.2</v>
      </c>
    </row>
    <row r="185" customFormat="false" ht="32.8" hidden="false" customHeight="false" outlineLevel="0" collapsed="false">
      <c r="A185" s="31" t="n">
        <v>102613</v>
      </c>
      <c r="B185" s="21" t="s">
        <v>282</v>
      </c>
      <c r="C185" s="22" t="s">
        <v>283</v>
      </c>
      <c r="D185" s="14" t="s">
        <v>27</v>
      </c>
      <c r="E185" s="14" t="n">
        <v>2</v>
      </c>
      <c r="F185" s="16" t="n">
        <v>452.14</v>
      </c>
      <c r="G185" s="16" t="n">
        <f aca="false">F185*1.25</f>
        <v>565.175</v>
      </c>
      <c r="H185" s="16" t="n">
        <f aca="false">J185*0.6</f>
        <v>678.216</v>
      </c>
      <c r="I185" s="16" t="n">
        <f aca="false">J185*0.4</f>
        <v>452.144</v>
      </c>
      <c r="J185" s="16" t="n">
        <f aca="false">ROUND(E185,2)*(ROUND(G185,2))</f>
        <v>1130.36</v>
      </c>
    </row>
    <row r="186" customFormat="false" ht="22.35" hidden="false" customHeight="false" outlineLevel="0" collapsed="false">
      <c r="A186" s="22" t="s">
        <v>159</v>
      </c>
      <c r="B186" s="21" t="s">
        <v>284</v>
      </c>
      <c r="C186" s="22" t="s">
        <v>285</v>
      </c>
      <c r="D186" s="14" t="s">
        <v>27</v>
      </c>
      <c r="E186" s="14" t="n">
        <v>2</v>
      </c>
      <c r="F186" s="16" t="n">
        <f aca="false">249.9+(249.9*0.4)</f>
        <v>349.86</v>
      </c>
      <c r="G186" s="16" t="n">
        <f aca="false">F186*1.25</f>
        <v>437.325</v>
      </c>
      <c r="H186" s="16" t="n">
        <f aca="false">J186*0.6</f>
        <v>524.796</v>
      </c>
      <c r="I186" s="16" t="n">
        <f aca="false">J186*0.4</f>
        <v>349.864</v>
      </c>
      <c r="J186" s="16" t="n">
        <f aca="false">ROUND(E186,2)*(ROUND(G186,2))</f>
        <v>874.66</v>
      </c>
    </row>
    <row r="187" customFormat="false" ht="32.8" hidden="false" customHeight="false" outlineLevel="0" collapsed="false">
      <c r="A187" s="12" t="n">
        <v>90443</v>
      </c>
      <c r="B187" s="21" t="s">
        <v>286</v>
      </c>
      <c r="C187" s="13" t="s">
        <v>287</v>
      </c>
      <c r="D187" s="15" t="s">
        <v>38</v>
      </c>
      <c r="E187" s="15" t="n">
        <f aca="false">5+2.5+2.85+3.05+0.8+2.2+2.2+0.8+3.05+2.5+2.85+5+2.85+2.6+1.75</f>
        <v>40</v>
      </c>
      <c r="F187" s="16" t="n">
        <v>10.88</v>
      </c>
      <c r="G187" s="16" t="n">
        <f aca="false">F187*1.25</f>
        <v>13.6</v>
      </c>
      <c r="H187" s="26" t="n">
        <f aca="false">J187*0.6</f>
        <v>326.4</v>
      </c>
      <c r="I187" s="26" t="n">
        <f aca="false">J187*0.4</f>
        <v>217.6</v>
      </c>
      <c r="J187" s="16" t="n">
        <f aca="false">ROUND(E187,2)*(ROUND(G187,2))</f>
        <v>544</v>
      </c>
    </row>
    <row r="188" customFormat="false" ht="64.15" hidden="false" customHeight="false" outlineLevel="0" collapsed="false">
      <c r="A188" s="12" t="n">
        <v>91786</v>
      </c>
      <c r="B188" s="21" t="s">
        <v>288</v>
      </c>
      <c r="C188" s="13" t="s">
        <v>289</v>
      </c>
      <c r="D188" s="15" t="s">
        <v>38</v>
      </c>
      <c r="E188" s="15" t="n">
        <f aca="false">0.7+0.7+1.9+2.85+2.6+0.25+1</f>
        <v>10</v>
      </c>
      <c r="F188" s="16" t="n">
        <v>30.86</v>
      </c>
      <c r="G188" s="16" t="n">
        <f aca="false">F188*1.25</f>
        <v>38.575</v>
      </c>
      <c r="H188" s="26" t="n">
        <f aca="false">J188*0.6</f>
        <v>231.48</v>
      </c>
      <c r="I188" s="26" t="n">
        <f aca="false">J188*0.4</f>
        <v>154.32</v>
      </c>
      <c r="J188" s="16" t="n">
        <f aca="false">ROUND(E188,2)*(ROUND(G188,2))</f>
        <v>385.8</v>
      </c>
    </row>
    <row r="189" customFormat="false" ht="53.7" hidden="false" customHeight="false" outlineLevel="0" collapsed="false">
      <c r="A189" s="12" t="n">
        <v>91785</v>
      </c>
      <c r="B189" s="21" t="s">
        <v>290</v>
      </c>
      <c r="C189" s="13" t="s">
        <v>291</v>
      </c>
      <c r="D189" s="15" t="s">
        <v>38</v>
      </c>
      <c r="E189" s="15" t="n">
        <f aca="false">5+(0.5*10)+5+2.5+3.05+0.8+(2.2*2)+(0.4*8)+0.8+0.5+3.05+0.25+2.5+1.3+5.5+2.85+2.85+0.85+5.95+2.85+24.07+2.73</f>
        <v>85</v>
      </c>
      <c r="F189" s="16" t="n">
        <v>39.64</v>
      </c>
      <c r="G189" s="16" t="n">
        <f aca="false">F189*1.25</f>
        <v>49.55</v>
      </c>
      <c r="H189" s="26" t="n">
        <f aca="false">J189*0.6</f>
        <v>2527.05</v>
      </c>
      <c r="I189" s="26" t="n">
        <f aca="false">J189*0.4</f>
        <v>1684.7</v>
      </c>
      <c r="J189" s="16" t="n">
        <f aca="false">ROUND(E189,2)*(ROUND(G189,2))</f>
        <v>4211.75</v>
      </c>
    </row>
    <row r="190" customFormat="false" ht="13.8" hidden="false" customHeight="false" outlineLevel="0" collapsed="false">
      <c r="A190" s="18"/>
      <c r="B190" s="18"/>
      <c r="C190" s="18"/>
      <c r="D190" s="18"/>
      <c r="E190" s="18"/>
      <c r="F190" s="18"/>
      <c r="G190" s="18"/>
      <c r="H190" s="18"/>
      <c r="I190" s="19" t="s">
        <v>32</v>
      </c>
      <c r="J190" s="20" t="n">
        <f aca="false">SUM(J175:J189)</f>
        <v>32849.09</v>
      </c>
    </row>
    <row r="191" customFormat="false" ht="13.8" hidden="false" customHeight="false" outlineLevel="0" collapsed="false">
      <c r="A191" s="11" t="s">
        <v>292</v>
      </c>
      <c r="B191" s="11"/>
      <c r="C191" s="11"/>
      <c r="D191" s="11"/>
      <c r="E191" s="11"/>
      <c r="F191" s="11"/>
      <c r="G191" s="11"/>
      <c r="H191" s="11"/>
      <c r="I191" s="11"/>
      <c r="J191" s="11"/>
    </row>
    <row r="192" customFormat="false" ht="22.35" hidden="false" customHeight="false" outlineLevel="0" collapsed="false">
      <c r="A192" s="12" t="n">
        <v>91937</v>
      </c>
      <c r="B192" s="32" t="s">
        <v>293</v>
      </c>
      <c r="C192" s="33" t="s">
        <v>294</v>
      </c>
      <c r="D192" s="34" t="s">
        <v>295</v>
      </c>
      <c r="E192" s="15" t="n">
        <v>39</v>
      </c>
      <c r="F192" s="26" t="n">
        <v>10.39</v>
      </c>
      <c r="G192" s="16" t="n">
        <f aca="false">F192*1.25</f>
        <v>12.9875</v>
      </c>
      <c r="H192" s="16" t="n">
        <f aca="false">J192*0.6</f>
        <v>303.966</v>
      </c>
      <c r="I192" s="16" t="n">
        <f aca="false">J192*0.4</f>
        <v>202.644</v>
      </c>
      <c r="J192" s="16" t="n">
        <f aca="false">ROUND(E192,2)*(ROUND(G192,2))</f>
        <v>506.61</v>
      </c>
    </row>
    <row r="193" customFormat="false" ht="22.35" hidden="false" customHeight="false" outlineLevel="0" collapsed="false">
      <c r="A193" s="12" t="n">
        <v>98111</v>
      </c>
      <c r="B193" s="32" t="s">
        <v>296</v>
      </c>
      <c r="C193" s="33" t="s">
        <v>297</v>
      </c>
      <c r="D193" s="34" t="s">
        <v>295</v>
      </c>
      <c r="E193" s="15" t="n">
        <v>1</v>
      </c>
      <c r="F193" s="26" t="n">
        <v>29.37</v>
      </c>
      <c r="G193" s="16" t="n">
        <f aca="false">F193*1.25</f>
        <v>36.7125</v>
      </c>
      <c r="H193" s="16" t="n">
        <f aca="false">J193*0.6</f>
        <v>22.026</v>
      </c>
      <c r="I193" s="16" t="n">
        <f aca="false">J193*0.4</f>
        <v>14.684</v>
      </c>
      <c r="J193" s="16" t="n">
        <f aca="false">ROUND(E193,2)*(ROUND(G193,2))</f>
        <v>36.71</v>
      </c>
    </row>
    <row r="194" customFormat="false" ht="43.25" hidden="false" customHeight="false" outlineLevel="0" collapsed="false">
      <c r="A194" s="12" t="s">
        <v>298</v>
      </c>
      <c r="B194" s="32" t="s">
        <v>299</v>
      </c>
      <c r="C194" s="33" t="s">
        <v>300</v>
      </c>
      <c r="D194" s="34" t="s">
        <v>295</v>
      </c>
      <c r="E194" s="15" t="n">
        <v>1</v>
      </c>
      <c r="F194" s="26" t="n">
        <v>1272.81</v>
      </c>
      <c r="G194" s="16" t="n">
        <f aca="false">F194*1.25</f>
        <v>1591.0125</v>
      </c>
      <c r="H194" s="16" t="n">
        <f aca="false">J194*0.6</f>
        <v>954.606</v>
      </c>
      <c r="I194" s="16" t="n">
        <f aca="false">J194*0.4</f>
        <v>636.404</v>
      </c>
      <c r="J194" s="16" t="n">
        <f aca="false">ROUND(E194,2)*(ROUND(G194,2))</f>
        <v>1591.01</v>
      </c>
    </row>
    <row r="195" customFormat="false" ht="32.8" hidden="false" customHeight="false" outlineLevel="0" collapsed="false">
      <c r="A195" s="12" t="s">
        <v>301</v>
      </c>
      <c r="B195" s="32" t="s">
        <v>302</v>
      </c>
      <c r="C195" s="33" t="s">
        <v>303</v>
      </c>
      <c r="D195" s="34" t="s">
        <v>295</v>
      </c>
      <c r="E195" s="15" t="n">
        <v>20</v>
      </c>
      <c r="F195" s="26" t="n">
        <v>8.94</v>
      </c>
      <c r="G195" s="16" t="n">
        <f aca="false">F195*1.25</f>
        <v>11.175</v>
      </c>
      <c r="H195" s="16" t="n">
        <f aca="false">J195*0.6</f>
        <v>134.16</v>
      </c>
      <c r="I195" s="16" t="n">
        <f aca="false">J195*0.4</f>
        <v>89.44</v>
      </c>
      <c r="J195" s="16" t="n">
        <f aca="false">ROUND(E195,2)*(ROUND(G195,2))</f>
        <v>223.6</v>
      </c>
    </row>
    <row r="196" customFormat="false" ht="32.8" hidden="false" customHeight="false" outlineLevel="0" collapsed="false">
      <c r="A196" s="12" t="s">
        <v>304</v>
      </c>
      <c r="B196" s="32" t="s">
        <v>305</v>
      </c>
      <c r="C196" s="33" t="s">
        <v>306</v>
      </c>
      <c r="D196" s="34" t="s">
        <v>295</v>
      </c>
      <c r="E196" s="15" t="n">
        <v>17</v>
      </c>
      <c r="F196" s="26" t="n">
        <v>13.07</v>
      </c>
      <c r="G196" s="16" t="n">
        <f aca="false">F196*1.25</f>
        <v>16.3375</v>
      </c>
      <c r="H196" s="16" t="n">
        <f aca="false">J196*0.6</f>
        <v>166.668</v>
      </c>
      <c r="I196" s="16" t="n">
        <f aca="false">J196*0.4</f>
        <v>111.112</v>
      </c>
      <c r="J196" s="16" t="n">
        <f aca="false">ROUND(E196,2)*(ROUND(G196,2))</f>
        <v>277.78</v>
      </c>
    </row>
    <row r="197" customFormat="false" ht="32.8" hidden="false" customHeight="false" outlineLevel="0" collapsed="false">
      <c r="A197" s="12" t="s">
        <v>307</v>
      </c>
      <c r="B197" s="32" t="s">
        <v>308</v>
      </c>
      <c r="C197" s="33" t="s">
        <v>309</v>
      </c>
      <c r="D197" s="34" t="s">
        <v>295</v>
      </c>
      <c r="E197" s="15" t="n">
        <v>13</v>
      </c>
      <c r="F197" s="26" t="n">
        <v>24.09</v>
      </c>
      <c r="G197" s="16" t="n">
        <f aca="false">F197*1.25</f>
        <v>30.1125</v>
      </c>
      <c r="H197" s="16" t="n">
        <f aca="false">J197*0.6</f>
        <v>234.858</v>
      </c>
      <c r="I197" s="16" t="n">
        <f aca="false">J197*0.4</f>
        <v>156.572</v>
      </c>
      <c r="J197" s="16" t="n">
        <f aca="false">ROUND(E197,2)*(ROUND(G197,2))</f>
        <v>391.43</v>
      </c>
    </row>
    <row r="198" customFormat="false" ht="43.25" hidden="false" customHeight="false" outlineLevel="0" collapsed="false">
      <c r="A198" s="12" t="s">
        <v>310</v>
      </c>
      <c r="B198" s="32" t="s">
        <v>311</v>
      </c>
      <c r="C198" s="33" t="s">
        <v>312</v>
      </c>
      <c r="D198" s="34" t="s">
        <v>295</v>
      </c>
      <c r="E198" s="15" t="n">
        <v>1</v>
      </c>
      <c r="F198" s="26" t="n">
        <v>22.46</v>
      </c>
      <c r="G198" s="16" t="n">
        <f aca="false">F198*1.25</f>
        <v>28.075</v>
      </c>
      <c r="H198" s="16" t="n">
        <f aca="false">J198*0.6</f>
        <v>16.848</v>
      </c>
      <c r="I198" s="16" t="n">
        <f aca="false">J198*0.4</f>
        <v>11.232</v>
      </c>
      <c r="J198" s="16" t="n">
        <f aca="false">ROUND(E198,2)*(ROUND(G198,2))</f>
        <v>28.08</v>
      </c>
    </row>
    <row r="199" customFormat="false" ht="22.35" hidden="false" customHeight="false" outlineLevel="0" collapsed="false">
      <c r="A199" s="12" t="s">
        <v>313</v>
      </c>
      <c r="B199" s="32" t="s">
        <v>314</v>
      </c>
      <c r="C199" s="33" t="s">
        <v>315</v>
      </c>
      <c r="D199" s="34" t="s">
        <v>295</v>
      </c>
      <c r="E199" s="15" t="n">
        <v>5</v>
      </c>
      <c r="F199" s="26" t="n">
        <v>13.38</v>
      </c>
      <c r="G199" s="16" t="n">
        <f aca="false">F199*1.25</f>
        <v>16.725</v>
      </c>
      <c r="H199" s="16" t="n">
        <f aca="false">J199*0.6</f>
        <v>50.19</v>
      </c>
      <c r="I199" s="16" t="n">
        <f aca="false">J199*0.4</f>
        <v>33.46</v>
      </c>
      <c r="J199" s="16" t="n">
        <f aca="false">ROUND(E199,2)*(ROUND(G199,2))</f>
        <v>83.65</v>
      </c>
    </row>
    <row r="200" customFormat="false" ht="22.35" hidden="false" customHeight="false" outlineLevel="0" collapsed="false">
      <c r="A200" s="12" t="s">
        <v>316</v>
      </c>
      <c r="B200" s="32" t="s">
        <v>317</v>
      </c>
      <c r="C200" s="33" t="s">
        <v>318</v>
      </c>
      <c r="D200" s="34" t="s">
        <v>295</v>
      </c>
      <c r="E200" s="15" t="n">
        <v>9</v>
      </c>
      <c r="F200" s="26" t="n">
        <v>11.83</v>
      </c>
      <c r="G200" s="16" t="n">
        <f aca="false">F200*1.25</f>
        <v>14.7875</v>
      </c>
      <c r="H200" s="16" t="n">
        <f aca="false">J200*0.6</f>
        <v>79.866</v>
      </c>
      <c r="I200" s="16" t="n">
        <f aca="false">J200*0.4</f>
        <v>53.244</v>
      </c>
      <c r="J200" s="16" t="n">
        <f aca="false">ROUND(E200,2)*(ROUND(G200,2))</f>
        <v>133.11</v>
      </c>
    </row>
    <row r="201" customFormat="false" ht="22.35" hidden="false" customHeight="false" outlineLevel="0" collapsed="false">
      <c r="A201" s="12" t="s">
        <v>319</v>
      </c>
      <c r="B201" s="32" t="s">
        <v>320</v>
      </c>
      <c r="C201" s="33" t="s">
        <v>321</v>
      </c>
      <c r="D201" s="34" t="s">
        <v>295</v>
      </c>
      <c r="E201" s="15" t="n">
        <v>1</v>
      </c>
      <c r="F201" s="26" t="n">
        <v>14.63</v>
      </c>
      <c r="G201" s="16" t="n">
        <f aca="false">F201*1.25</f>
        <v>18.2875</v>
      </c>
      <c r="H201" s="16" t="n">
        <f aca="false">J201*0.6</f>
        <v>10.974</v>
      </c>
      <c r="I201" s="16" t="n">
        <f aca="false">J201*0.4</f>
        <v>7.316</v>
      </c>
      <c r="J201" s="16" t="n">
        <f aca="false">ROUND(E201,2)*(ROUND(G201,2))</f>
        <v>18.29</v>
      </c>
    </row>
    <row r="202" customFormat="false" ht="32.8" hidden="false" customHeight="false" outlineLevel="0" collapsed="false">
      <c r="A202" s="12" t="s">
        <v>322</v>
      </c>
      <c r="B202" s="32" t="s">
        <v>323</v>
      </c>
      <c r="C202" s="33" t="s">
        <v>324</v>
      </c>
      <c r="D202" s="34" t="s">
        <v>295</v>
      </c>
      <c r="E202" s="15" t="n">
        <v>2</v>
      </c>
      <c r="F202" s="26" t="n">
        <v>64.43</v>
      </c>
      <c r="G202" s="16" t="n">
        <f aca="false">F202*1.25</f>
        <v>80.5375</v>
      </c>
      <c r="H202" s="16" t="n">
        <f aca="false">J202*0.6</f>
        <v>96.648</v>
      </c>
      <c r="I202" s="16" t="n">
        <f aca="false">J202*0.4</f>
        <v>64.432</v>
      </c>
      <c r="J202" s="16" t="n">
        <f aca="false">ROUND(E202,2)*(ROUND(G202,2))</f>
        <v>161.08</v>
      </c>
    </row>
    <row r="203" customFormat="false" ht="32.8" hidden="false" customHeight="false" outlineLevel="0" collapsed="false">
      <c r="A203" s="12" t="s">
        <v>325</v>
      </c>
      <c r="B203" s="32" t="s">
        <v>326</v>
      </c>
      <c r="C203" s="33" t="s">
        <v>327</v>
      </c>
      <c r="D203" s="34" t="s">
        <v>38</v>
      </c>
      <c r="E203" s="15" t="n">
        <v>650</v>
      </c>
      <c r="F203" s="26" t="n">
        <v>5.29</v>
      </c>
      <c r="G203" s="16" t="n">
        <f aca="false">F203*1.25</f>
        <v>6.6125</v>
      </c>
      <c r="H203" s="16" t="n">
        <f aca="false">J203*0.6</f>
        <v>2577.9</v>
      </c>
      <c r="I203" s="16" t="n">
        <f aca="false">J203*0.4</f>
        <v>1718.6</v>
      </c>
      <c r="J203" s="16" t="n">
        <f aca="false">ROUND(E203,2)*(ROUND(G203,2))</f>
        <v>4296.5</v>
      </c>
    </row>
    <row r="204" customFormat="false" ht="32.8" hidden="false" customHeight="false" outlineLevel="0" collapsed="false">
      <c r="A204" s="12" t="s">
        <v>328</v>
      </c>
      <c r="B204" s="32" t="s">
        <v>329</v>
      </c>
      <c r="C204" s="33" t="s">
        <v>330</v>
      </c>
      <c r="D204" s="34" t="s">
        <v>38</v>
      </c>
      <c r="E204" s="15" t="n">
        <v>250</v>
      </c>
      <c r="F204" s="26" t="n">
        <v>6.11</v>
      </c>
      <c r="G204" s="16" t="n">
        <f aca="false">F204*1.25</f>
        <v>7.6375</v>
      </c>
      <c r="H204" s="16" t="n">
        <f aca="false">J204*0.6</f>
        <v>1146</v>
      </c>
      <c r="I204" s="16" t="n">
        <f aca="false">J204*0.4</f>
        <v>764</v>
      </c>
      <c r="J204" s="16" t="n">
        <f aca="false">ROUND(E204,2)*(ROUND(G204,2))</f>
        <v>1910</v>
      </c>
    </row>
    <row r="205" customFormat="false" ht="32.8" hidden="false" customHeight="false" outlineLevel="0" collapsed="false">
      <c r="A205" s="12" t="s">
        <v>331</v>
      </c>
      <c r="B205" s="32" t="s">
        <v>332</v>
      </c>
      <c r="C205" s="33" t="s">
        <v>333</v>
      </c>
      <c r="D205" s="34" t="s">
        <v>38</v>
      </c>
      <c r="E205" s="15" t="n">
        <v>120</v>
      </c>
      <c r="F205" s="26" t="n">
        <v>7.39</v>
      </c>
      <c r="G205" s="16" t="n">
        <f aca="false">F205*1.25</f>
        <v>9.2375</v>
      </c>
      <c r="H205" s="16" t="n">
        <f aca="false">J205*0.6</f>
        <v>665.28</v>
      </c>
      <c r="I205" s="16" t="n">
        <f aca="false">J205*0.4</f>
        <v>443.52</v>
      </c>
      <c r="J205" s="16" t="n">
        <f aca="false">ROUND(E205,2)*(ROUND(G205,2))</f>
        <v>1108.8</v>
      </c>
    </row>
    <row r="206" customFormat="false" ht="32.8" hidden="false" customHeight="false" outlineLevel="0" collapsed="false">
      <c r="A206" s="12" t="s">
        <v>334</v>
      </c>
      <c r="B206" s="32" t="s">
        <v>335</v>
      </c>
      <c r="C206" s="33" t="s">
        <v>336</v>
      </c>
      <c r="D206" s="34" t="s">
        <v>38</v>
      </c>
      <c r="E206" s="15" t="n">
        <v>300</v>
      </c>
      <c r="F206" s="26" t="n">
        <v>13.11</v>
      </c>
      <c r="G206" s="16" t="n">
        <f aca="false">F206*1.25</f>
        <v>16.3875</v>
      </c>
      <c r="H206" s="16" t="n">
        <f aca="false">J206*0.6</f>
        <v>2950.2</v>
      </c>
      <c r="I206" s="16" t="n">
        <f aca="false">J206*0.4</f>
        <v>1966.8</v>
      </c>
      <c r="J206" s="16" t="n">
        <f aca="false">ROUND(E206,2)*(ROUND(G206,2))</f>
        <v>4917</v>
      </c>
    </row>
    <row r="207" customFormat="false" ht="22.35" hidden="false" customHeight="false" outlineLevel="0" collapsed="false">
      <c r="A207" s="12" t="s">
        <v>337</v>
      </c>
      <c r="B207" s="32" t="s">
        <v>338</v>
      </c>
      <c r="C207" s="33" t="s">
        <v>339</v>
      </c>
      <c r="D207" s="34" t="s">
        <v>38</v>
      </c>
      <c r="E207" s="15" t="n">
        <v>120</v>
      </c>
      <c r="F207" s="26" t="n">
        <v>5.56</v>
      </c>
      <c r="G207" s="16" t="n">
        <f aca="false">F207*1.25</f>
        <v>6.95</v>
      </c>
      <c r="H207" s="16" t="n">
        <f aca="false">J207*0.6</f>
        <v>500.4</v>
      </c>
      <c r="I207" s="16" t="n">
        <f aca="false">J207*0.4</f>
        <v>333.6</v>
      </c>
      <c r="J207" s="16" t="n">
        <f aca="false">ROUND(E207,2)*(ROUND(G207,2))</f>
        <v>834</v>
      </c>
    </row>
    <row r="208" customFormat="false" ht="22.35" hidden="false" customHeight="false" outlineLevel="0" collapsed="false">
      <c r="A208" s="12" t="s">
        <v>340</v>
      </c>
      <c r="B208" s="32" t="s">
        <v>341</v>
      </c>
      <c r="C208" s="33" t="s">
        <v>342</v>
      </c>
      <c r="D208" s="34" t="s">
        <v>295</v>
      </c>
      <c r="E208" s="15" t="n">
        <v>91</v>
      </c>
      <c r="F208" s="26" t="n">
        <v>3.49</v>
      </c>
      <c r="G208" s="16" t="n">
        <f aca="false">F208*1.25</f>
        <v>4.3625</v>
      </c>
      <c r="H208" s="16" t="n">
        <f aca="false">J208*0.6</f>
        <v>238.056</v>
      </c>
      <c r="I208" s="16" t="n">
        <f aca="false">J208*0.4</f>
        <v>158.704</v>
      </c>
      <c r="J208" s="16" t="n">
        <f aca="false">ROUND(E208,2)*(ROUND(G208,2))</f>
        <v>396.76</v>
      </c>
    </row>
    <row r="209" customFormat="false" ht="32.8" hidden="false" customHeight="false" outlineLevel="0" collapsed="false">
      <c r="A209" s="12" t="s">
        <v>343</v>
      </c>
      <c r="B209" s="32" t="s">
        <v>344</v>
      </c>
      <c r="C209" s="33" t="s">
        <v>345</v>
      </c>
      <c r="D209" s="34" t="s">
        <v>38</v>
      </c>
      <c r="E209" s="15" t="n">
        <v>900</v>
      </c>
      <c r="F209" s="26" t="n">
        <v>3.99</v>
      </c>
      <c r="G209" s="16" t="n">
        <f aca="false">F209*1.25</f>
        <v>4.9875</v>
      </c>
      <c r="H209" s="16" t="n">
        <f aca="false">J209*0.6</f>
        <v>2694.6</v>
      </c>
      <c r="I209" s="16" t="n">
        <f aca="false">J209*0.4</f>
        <v>1796.4</v>
      </c>
      <c r="J209" s="16" t="n">
        <f aca="false">ROUND(E209,2)*(ROUND(G209,2))</f>
        <v>4491</v>
      </c>
    </row>
    <row r="210" customFormat="false" ht="43.25" hidden="false" customHeight="false" outlineLevel="0" collapsed="false">
      <c r="A210" s="12" t="s">
        <v>346</v>
      </c>
      <c r="B210" s="32" t="s">
        <v>347</v>
      </c>
      <c r="C210" s="33" t="s">
        <v>348</v>
      </c>
      <c r="D210" s="34" t="s">
        <v>38</v>
      </c>
      <c r="E210" s="15" t="n">
        <v>800</v>
      </c>
      <c r="F210" s="26" t="n">
        <v>3.94</v>
      </c>
      <c r="G210" s="16" t="n">
        <f aca="false">F210*1.25</f>
        <v>4.925</v>
      </c>
      <c r="H210" s="16" t="n">
        <f aca="false">J210*0.6</f>
        <v>2366.4</v>
      </c>
      <c r="I210" s="16" t="n">
        <f aca="false">J210*0.4</f>
        <v>1577.6</v>
      </c>
      <c r="J210" s="16" t="n">
        <f aca="false">ROUND(E210,2)*(ROUND(G210,2))</f>
        <v>3944</v>
      </c>
    </row>
    <row r="211" customFormat="false" ht="32.8" hidden="false" customHeight="false" outlineLevel="0" collapsed="false">
      <c r="A211" s="12" t="s">
        <v>349</v>
      </c>
      <c r="B211" s="32" t="s">
        <v>350</v>
      </c>
      <c r="C211" s="33" t="s">
        <v>351</v>
      </c>
      <c r="D211" s="34" t="s">
        <v>38</v>
      </c>
      <c r="E211" s="15" t="n">
        <v>200</v>
      </c>
      <c r="F211" s="26" t="n">
        <v>16.26</v>
      </c>
      <c r="G211" s="16" t="n">
        <f aca="false">F211*1.25</f>
        <v>20.325</v>
      </c>
      <c r="H211" s="16" t="n">
        <f aca="false">J211*0.6</f>
        <v>2439.6</v>
      </c>
      <c r="I211" s="16" t="n">
        <f aca="false">J211*0.4</f>
        <v>1626.4</v>
      </c>
      <c r="J211" s="16" t="n">
        <f aca="false">ROUND(E211,2)*(ROUND(G211,2))</f>
        <v>4066</v>
      </c>
    </row>
    <row r="212" customFormat="false" ht="22.35" hidden="false" customHeight="false" outlineLevel="0" collapsed="false">
      <c r="A212" s="12" t="s">
        <v>352</v>
      </c>
      <c r="B212" s="32" t="s">
        <v>353</v>
      </c>
      <c r="C212" s="33" t="s">
        <v>354</v>
      </c>
      <c r="D212" s="34" t="s">
        <v>295</v>
      </c>
      <c r="E212" s="15" t="n">
        <v>1</v>
      </c>
      <c r="F212" s="26" t="n">
        <v>74.48</v>
      </c>
      <c r="G212" s="16" t="n">
        <f aca="false">F212*1.25</f>
        <v>93.1</v>
      </c>
      <c r="H212" s="16" t="n">
        <f aca="false">J212*0.6</f>
        <v>55.86</v>
      </c>
      <c r="I212" s="16" t="n">
        <f aca="false">J212*0.4</f>
        <v>37.24</v>
      </c>
      <c r="J212" s="16" t="n">
        <f aca="false">ROUND(E212,2)*(ROUND(G212,2))</f>
        <v>93.1</v>
      </c>
    </row>
    <row r="213" customFormat="false" ht="32.8" hidden="false" customHeight="false" outlineLevel="0" collapsed="false">
      <c r="A213" s="12" t="s">
        <v>355</v>
      </c>
      <c r="B213" s="32" t="s">
        <v>356</v>
      </c>
      <c r="C213" s="33" t="s">
        <v>357</v>
      </c>
      <c r="D213" s="34" t="s">
        <v>295</v>
      </c>
      <c r="E213" s="15" t="n">
        <v>6</v>
      </c>
      <c r="F213" s="26" t="n">
        <v>16.27</v>
      </c>
      <c r="G213" s="16" t="n">
        <f aca="false">F213*1.25</f>
        <v>20.3375</v>
      </c>
      <c r="H213" s="16" t="n">
        <f aca="false">J213*0.6</f>
        <v>73.224</v>
      </c>
      <c r="I213" s="16" t="n">
        <f aca="false">J213*0.4</f>
        <v>48.816</v>
      </c>
      <c r="J213" s="16" t="n">
        <f aca="false">ROUND(E213,2)*(ROUND(G213,2))</f>
        <v>122.04</v>
      </c>
    </row>
    <row r="214" customFormat="false" ht="32.8" hidden="false" customHeight="false" outlineLevel="0" collapsed="false">
      <c r="A214" s="12" t="s">
        <v>358</v>
      </c>
      <c r="B214" s="32" t="s">
        <v>359</v>
      </c>
      <c r="C214" s="33" t="s">
        <v>360</v>
      </c>
      <c r="D214" s="34" t="s">
        <v>295</v>
      </c>
      <c r="E214" s="15" t="n">
        <v>4</v>
      </c>
      <c r="F214" s="26" t="n">
        <v>37.56</v>
      </c>
      <c r="G214" s="16" t="n">
        <f aca="false">F214*1.25</f>
        <v>46.95</v>
      </c>
      <c r="H214" s="16" t="n">
        <f aca="false">J214*0.6</f>
        <v>112.68</v>
      </c>
      <c r="I214" s="16" t="n">
        <f aca="false">J214*0.4</f>
        <v>75.12</v>
      </c>
      <c r="J214" s="16" t="n">
        <f aca="false">ROUND(E214,2)*(ROUND(G214,2))</f>
        <v>187.8</v>
      </c>
    </row>
    <row r="215" customFormat="false" ht="32.8" hidden="false" customHeight="false" outlineLevel="0" collapsed="false">
      <c r="A215" s="12" t="s">
        <v>361</v>
      </c>
      <c r="B215" s="32" t="s">
        <v>362</v>
      </c>
      <c r="C215" s="33" t="s">
        <v>363</v>
      </c>
      <c r="D215" s="34" t="s">
        <v>295</v>
      </c>
      <c r="E215" s="15" t="n">
        <v>1</v>
      </c>
      <c r="F215" s="26" t="n">
        <v>51.41</v>
      </c>
      <c r="G215" s="16" t="n">
        <f aca="false">F215*1.25</f>
        <v>64.2625</v>
      </c>
      <c r="H215" s="16" t="n">
        <f aca="false">J215*0.6</f>
        <v>38.556</v>
      </c>
      <c r="I215" s="16" t="n">
        <f aca="false">J215*0.4</f>
        <v>25.704</v>
      </c>
      <c r="J215" s="16" t="n">
        <f aca="false">ROUND(E215,2)*(ROUND(G215,2))</f>
        <v>64.26</v>
      </c>
    </row>
    <row r="216" customFormat="false" ht="32.8" hidden="false" customHeight="false" outlineLevel="0" collapsed="false">
      <c r="A216" s="12" t="s">
        <v>364</v>
      </c>
      <c r="B216" s="32" t="s">
        <v>365</v>
      </c>
      <c r="C216" s="33" t="s">
        <v>366</v>
      </c>
      <c r="D216" s="34" t="s">
        <v>295</v>
      </c>
      <c r="E216" s="15" t="n">
        <v>21</v>
      </c>
      <c r="F216" s="26" t="n">
        <v>27.39</v>
      </c>
      <c r="G216" s="16" t="n">
        <f aca="false">F216*1.25</f>
        <v>34.2375</v>
      </c>
      <c r="H216" s="16" t="n">
        <f aca="false">J216*0.6</f>
        <v>431.424</v>
      </c>
      <c r="I216" s="16" t="n">
        <f aca="false">J216*0.4</f>
        <v>287.616</v>
      </c>
      <c r="J216" s="16" t="n">
        <f aca="false">ROUND(E216,2)*(ROUND(G216,2))</f>
        <v>719.04</v>
      </c>
    </row>
    <row r="217" customFormat="false" ht="32.8" hidden="false" customHeight="false" outlineLevel="0" collapsed="false">
      <c r="A217" s="12" t="s">
        <v>367</v>
      </c>
      <c r="B217" s="32" t="s">
        <v>368</v>
      </c>
      <c r="C217" s="33" t="s">
        <v>369</v>
      </c>
      <c r="D217" s="34" t="s">
        <v>295</v>
      </c>
      <c r="E217" s="15" t="n">
        <v>7</v>
      </c>
      <c r="F217" s="26" t="n">
        <v>30.35</v>
      </c>
      <c r="G217" s="16" t="n">
        <f aca="false">F217*1.25</f>
        <v>37.9375</v>
      </c>
      <c r="H217" s="16" t="n">
        <f aca="false">J217*0.6</f>
        <v>159.348</v>
      </c>
      <c r="I217" s="16" t="n">
        <f aca="false">J217*0.4</f>
        <v>106.232</v>
      </c>
      <c r="J217" s="16" t="n">
        <f aca="false">ROUND(E217,2)*(ROUND(G217,2))</f>
        <v>265.58</v>
      </c>
    </row>
    <row r="218" customFormat="false" ht="32.8" hidden="false" customHeight="false" outlineLevel="0" collapsed="false">
      <c r="A218" s="12" t="s">
        <v>370</v>
      </c>
      <c r="B218" s="32" t="s">
        <v>371</v>
      </c>
      <c r="C218" s="33" t="s">
        <v>372</v>
      </c>
      <c r="D218" s="34" t="s">
        <v>295</v>
      </c>
      <c r="E218" s="15" t="n">
        <v>14</v>
      </c>
      <c r="F218" s="26" t="n">
        <v>37.97</v>
      </c>
      <c r="G218" s="16" t="n">
        <f aca="false">F218*1.25</f>
        <v>47.4625</v>
      </c>
      <c r="H218" s="16" t="n">
        <f aca="false">J218*0.6</f>
        <v>398.664</v>
      </c>
      <c r="I218" s="16" t="n">
        <f aca="false">J218*0.4</f>
        <v>265.776</v>
      </c>
      <c r="J218" s="16" t="n">
        <f aca="false">ROUND(E218,2)*(ROUND(G218,2))</f>
        <v>664.44</v>
      </c>
    </row>
    <row r="219" customFormat="false" ht="22.35" hidden="false" customHeight="false" outlineLevel="0" collapsed="false">
      <c r="A219" s="13" t="s">
        <v>159</v>
      </c>
      <c r="B219" s="32" t="s">
        <v>373</v>
      </c>
      <c r="C219" s="35" t="s">
        <v>374</v>
      </c>
      <c r="D219" s="34" t="s">
        <v>295</v>
      </c>
      <c r="E219" s="15" t="n">
        <v>30</v>
      </c>
      <c r="F219" s="26" t="n">
        <v>51.8</v>
      </c>
      <c r="G219" s="16" t="n">
        <f aca="false">F219*1.25</f>
        <v>64.75</v>
      </c>
      <c r="H219" s="16" t="n">
        <f aca="false">J219*0.6</f>
        <v>1165.5</v>
      </c>
      <c r="I219" s="16" t="n">
        <f aca="false">J219*0.4</f>
        <v>777</v>
      </c>
      <c r="J219" s="16" t="n">
        <f aca="false">ROUND(E219,2)*(ROUND(G219,2))</f>
        <v>1942.5</v>
      </c>
    </row>
    <row r="220" customFormat="false" ht="22.35" hidden="false" customHeight="false" outlineLevel="0" collapsed="false">
      <c r="A220" s="12" t="s">
        <v>375</v>
      </c>
      <c r="B220" s="32" t="s">
        <v>376</v>
      </c>
      <c r="C220" s="35" t="s">
        <v>377</v>
      </c>
      <c r="D220" s="34" t="s">
        <v>295</v>
      </c>
      <c r="E220" s="15" t="n">
        <v>12</v>
      </c>
      <c r="F220" s="26" t="n">
        <v>26.46</v>
      </c>
      <c r="G220" s="16" t="n">
        <f aca="false">F220*1.25</f>
        <v>33.075</v>
      </c>
      <c r="H220" s="16" t="n">
        <f aca="false">J220*0.6</f>
        <v>238.176</v>
      </c>
      <c r="I220" s="16" t="n">
        <f aca="false">J220*0.4</f>
        <v>158.784</v>
      </c>
      <c r="J220" s="16" t="n">
        <f aca="false">ROUND(E220,2)*(ROUND(G220,2))</f>
        <v>396.96</v>
      </c>
    </row>
    <row r="221" customFormat="false" ht="22.35" hidden="false" customHeight="false" outlineLevel="0" collapsed="false">
      <c r="A221" s="13" t="s">
        <v>159</v>
      </c>
      <c r="B221" s="32" t="s">
        <v>378</v>
      </c>
      <c r="C221" s="33" t="s">
        <v>379</v>
      </c>
      <c r="D221" s="34" t="s">
        <v>380</v>
      </c>
      <c r="E221" s="15" t="n">
        <v>1</v>
      </c>
      <c r="F221" s="26" t="n">
        <v>216</v>
      </c>
      <c r="G221" s="16" t="n">
        <f aca="false">F221*1.25</f>
        <v>270</v>
      </c>
      <c r="H221" s="16" t="n">
        <f aca="false">J221*0.6</f>
        <v>162</v>
      </c>
      <c r="I221" s="16" t="n">
        <f aca="false">J221*0.4</f>
        <v>108</v>
      </c>
      <c r="J221" s="16" t="n">
        <f aca="false">ROUND(E221,2)*(ROUND(G221,2))</f>
        <v>270</v>
      </c>
    </row>
    <row r="222" customFormat="false" ht="43.25" hidden="false" customHeight="false" outlineLevel="0" collapsed="false">
      <c r="A222" s="12" t="n">
        <v>101506</v>
      </c>
      <c r="B222" s="32" t="s">
        <v>381</v>
      </c>
      <c r="C222" s="36" t="s">
        <v>382</v>
      </c>
      <c r="D222" s="34" t="s">
        <v>380</v>
      </c>
      <c r="E222" s="15" t="n">
        <v>1</v>
      </c>
      <c r="F222" s="26" t="n">
        <v>1725.68</v>
      </c>
      <c r="G222" s="16" t="n">
        <f aca="false">F222*1.25</f>
        <v>2157.1</v>
      </c>
      <c r="H222" s="16" t="n">
        <f aca="false">J222*0.6</f>
        <v>1294.26</v>
      </c>
      <c r="I222" s="16" t="n">
        <f aca="false">J222*0.4</f>
        <v>862.84</v>
      </c>
      <c r="J222" s="16" t="n">
        <f aca="false">ROUND(E222,2)*(ROUND(G222,2))</f>
        <v>2157.1</v>
      </c>
    </row>
    <row r="223" customFormat="false" ht="13.8" hidden="false" customHeight="false" outlineLevel="0" collapsed="false">
      <c r="A223" s="18"/>
      <c r="B223" s="18"/>
      <c r="C223" s="18"/>
      <c r="D223" s="18"/>
      <c r="E223" s="18"/>
      <c r="F223" s="18"/>
      <c r="G223" s="18"/>
      <c r="H223" s="18"/>
      <c r="I223" s="19" t="s">
        <v>32</v>
      </c>
      <c r="J223" s="20" t="n">
        <f aca="false">SUM(J192:J222)</f>
        <v>36298.23</v>
      </c>
    </row>
    <row r="224" customFormat="false" ht="13.8" hidden="false" customHeight="false" outlineLevel="0" collapsed="false">
      <c r="A224" s="11" t="s">
        <v>383</v>
      </c>
      <c r="B224" s="11"/>
      <c r="C224" s="11"/>
      <c r="D224" s="11"/>
      <c r="E224" s="11"/>
      <c r="F224" s="11"/>
      <c r="G224" s="11"/>
      <c r="H224" s="11"/>
      <c r="I224" s="11"/>
      <c r="J224" s="11"/>
    </row>
    <row r="225" customFormat="false" ht="53.7" hidden="false" customHeight="false" outlineLevel="0" collapsed="false">
      <c r="A225" s="13" t="n">
        <v>87505</v>
      </c>
      <c r="B225" s="21" t="s">
        <v>384</v>
      </c>
      <c r="C225" s="13" t="s">
        <v>64</v>
      </c>
      <c r="D225" s="14" t="s">
        <v>23</v>
      </c>
      <c r="E225" s="15" t="n">
        <f aca="false">0.65*2.1*2</f>
        <v>2.73</v>
      </c>
      <c r="F225" s="26" t="n">
        <v>69.28</v>
      </c>
      <c r="G225" s="16" t="n">
        <f aca="false">F225*1.25</f>
        <v>86.6</v>
      </c>
      <c r="H225" s="16" t="n">
        <f aca="false">J225*0.6</f>
        <v>141.8508</v>
      </c>
      <c r="I225" s="16" t="n">
        <f aca="false">J225*0.4</f>
        <v>94.5672</v>
      </c>
      <c r="J225" s="16" t="n">
        <f aca="false">ROUND(E225,2)*(ROUND(G225,2))</f>
        <v>236.418</v>
      </c>
    </row>
    <row r="226" customFormat="false" ht="43.25" hidden="false" customHeight="false" outlineLevel="0" collapsed="false">
      <c r="A226" s="13" t="n">
        <v>87879</v>
      </c>
      <c r="B226" s="21" t="s">
        <v>385</v>
      </c>
      <c r="C226" s="13" t="s">
        <v>156</v>
      </c>
      <c r="D226" s="14" t="s">
        <v>23</v>
      </c>
      <c r="E226" s="15" t="n">
        <f aca="false">E225*2</f>
        <v>5.46</v>
      </c>
      <c r="F226" s="26" t="n">
        <v>3.45</v>
      </c>
      <c r="G226" s="16" t="n">
        <f aca="false">F226*1.25</f>
        <v>4.3125</v>
      </c>
      <c r="H226" s="16" t="n">
        <f aca="false">J226*0.6</f>
        <v>14.11956</v>
      </c>
      <c r="I226" s="16" t="n">
        <f aca="false">J226*0.4</f>
        <v>9.41304</v>
      </c>
      <c r="J226" s="16" t="n">
        <f aca="false">ROUND(E226,2)*(ROUND(G226,2))</f>
        <v>23.5326</v>
      </c>
    </row>
    <row r="227" customFormat="false" ht="53.7" hidden="false" customHeight="false" outlineLevel="0" collapsed="false">
      <c r="A227" s="13" t="n">
        <v>87529</v>
      </c>
      <c r="B227" s="21" t="s">
        <v>386</v>
      </c>
      <c r="C227" s="13" t="s">
        <v>158</v>
      </c>
      <c r="D227" s="14" t="s">
        <v>23</v>
      </c>
      <c r="E227" s="15" t="n">
        <f aca="false">E226</f>
        <v>5.46</v>
      </c>
      <c r="F227" s="26" t="n">
        <v>29.01</v>
      </c>
      <c r="G227" s="16" t="n">
        <f aca="false">F227*1.25</f>
        <v>36.2625</v>
      </c>
      <c r="H227" s="16" t="n">
        <f aca="false">J227*0.6</f>
        <v>118.78776</v>
      </c>
      <c r="I227" s="16" t="n">
        <f aca="false">J227*0.4</f>
        <v>79.19184</v>
      </c>
      <c r="J227" s="16" t="n">
        <f aca="false">ROUND(E227,2)*(ROUND(G227,2))</f>
        <v>197.9796</v>
      </c>
    </row>
    <row r="228" customFormat="false" ht="22.35" hidden="false" customHeight="false" outlineLevel="0" collapsed="false">
      <c r="A228" s="13" t="s">
        <v>159</v>
      </c>
      <c r="B228" s="21" t="s">
        <v>387</v>
      </c>
      <c r="C228" s="13" t="s">
        <v>161</v>
      </c>
      <c r="D228" s="14" t="s">
        <v>23</v>
      </c>
      <c r="E228" s="15" t="n">
        <f aca="false">E227</f>
        <v>5.46</v>
      </c>
      <c r="F228" s="26" t="n">
        <v>4.48</v>
      </c>
      <c r="G228" s="16" t="n">
        <f aca="false">F228*1.25</f>
        <v>5.6</v>
      </c>
      <c r="H228" s="16" t="n">
        <f aca="false">J228*0.6</f>
        <v>18.3456</v>
      </c>
      <c r="I228" s="16" t="n">
        <f aca="false">J228*0.4</f>
        <v>12.2304</v>
      </c>
      <c r="J228" s="16" t="n">
        <f aca="false">ROUND(E228,2)*(ROUND(G228,2))</f>
        <v>30.576</v>
      </c>
    </row>
    <row r="229" customFormat="false" ht="22.35" hidden="false" customHeight="false" outlineLevel="0" collapsed="false">
      <c r="A229" s="12" t="n">
        <v>88485</v>
      </c>
      <c r="B229" s="21" t="s">
        <v>388</v>
      </c>
      <c r="C229" s="13" t="s">
        <v>217</v>
      </c>
      <c r="D229" s="15" t="s">
        <v>23</v>
      </c>
      <c r="E229" s="15" t="n">
        <f aca="false">E226</f>
        <v>5.46</v>
      </c>
      <c r="F229" s="26" t="n">
        <v>2.08</v>
      </c>
      <c r="G229" s="16" t="n">
        <f aca="false">F229*1.25</f>
        <v>2.6</v>
      </c>
      <c r="H229" s="16" t="n">
        <f aca="false">J229*0.6</f>
        <v>8.5176</v>
      </c>
      <c r="I229" s="16" t="n">
        <f aca="false">J229*0.4</f>
        <v>5.6784</v>
      </c>
      <c r="J229" s="16" t="n">
        <f aca="false">ROUND(E229,2)*(ROUND(G229,2))</f>
        <v>14.196</v>
      </c>
    </row>
    <row r="230" customFormat="false" ht="22.35" hidden="false" customHeight="false" outlineLevel="0" collapsed="false">
      <c r="A230" s="12" t="n">
        <v>88489</v>
      </c>
      <c r="B230" s="21" t="s">
        <v>389</v>
      </c>
      <c r="C230" s="13" t="s">
        <v>219</v>
      </c>
      <c r="D230" s="15" t="s">
        <v>23</v>
      </c>
      <c r="E230" s="15" t="n">
        <f aca="false">E229</f>
        <v>5.46</v>
      </c>
      <c r="F230" s="26" t="n">
        <v>13.85</v>
      </c>
      <c r="G230" s="16" t="n">
        <f aca="false">F230*1.25</f>
        <v>17.3125</v>
      </c>
      <c r="H230" s="16" t="n">
        <f aca="false">J230*0.6</f>
        <v>56.70756</v>
      </c>
      <c r="I230" s="16" t="n">
        <f aca="false">J230*0.4</f>
        <v>37.80504</v>
      </c>
      <c r="J230" s="16" t="n">
        <f aca="false">ROUND(E230,2)*(ROUND(G230,2))</f>
        <v>94.5126</v>
      </c>
    </row>
    <row r="231" customFormat="false" ht="22.35" hidden="false" customHeight="false" outlineLevel="0" collapsed="false">
      <c r="A231" s="13" t="n">
        <v>93204</v>
      </c>
      <c r="B231" s="21" t="s">
        <v>390</v>
      </c>
      <c r="C231" s="13" t="s">
        <v>391</v>
      </c>
      <c r="D231" s="14" t="s">
        <v>38</v>
      </c>
      <c r="E231" s="15" t="n">
        <f aca="false">0.65+0.65</f>
        <v>1.3</v>
      </c>
      <c r="F231" s="26" t="n">
        <v>50.99</v>
      </c>
      <c r="G231" s="16" t="n">
        <f aca="false">F231*1.25</f>
        <v>63.7375</v>
      </c>
      <c r="H231" s="16" t="n">
        <f aca="false">J231*0.6</f>
        <v>49.7172</v>
      </c>
      <c r="I231" s="16" t="n">
        <f aca="false">J231*0.4</f>
        <v>33.1448</v>
      </c>
      <c r="J231" s="16" t="n">
        <f aca="false">ROUND(E231,2)*(ROUND(G231,2))</f>
        <v>82.862</v>
      </c>
    </row>
    <row r="232" customFormat="false" ht="43.25" hidden="false" customHeight="false" outlineLevel="0" collapsed="false">
      <c r="A232" s="13" t="n">
        <v>92775</v>
      </c>
      <c r="B232" s="21" t="s">
        <v>392</v>
      </c>
      <c r="C232" s="13" t="s">
        <v>81</v>
      </c>
      <c r="D232" s="13" t="s">
        <v>53</v>
      </c>
      <c r="E232" s="15" t="n">
        <f aca="false">(1.3/0.15)*0.63*0.16</f>
        <v>0.8736</v>
      </c>
      <c r="F232" s="26" t="n">
        <v>20.25</v>
      </c>
      <c r="G232" s="16" t="n">
        <f aca="false">F232*1.25</f>
        <v>25.3125</v>
      </c>
      <c r="H232" s="16" t="n">
        <f aca="false">J232*0.6</f>
        <v>13.21182</v>
      </c>
      <c r="I232" s="16" t="n">
        <f aca="false">J232*0.4</f>
        <v>8.80788</v>
      </c>
      <c r="J232" s="16" t="n">
        <f aca="false">ROUND(E232,2)*(ROUND(G232,2))</f>
        <v>22.0197</v>
      </c>
    </row>
    <row r="233" customFormat="false" ht="43.25" hidden="false" customHeight="false" outlineLevel="0" collapsed="false">
      <c r="A233" s="13" t="n">
        <v>101964</v>
      </c>
      <c r="B233" s="21" t="s">
        <v>393</v>
      </c>
      <c r="C233" s="13" t="s">
        <v>127</v>
      </c>
      <c r="D233" s="14" t="s">
        <v>23</v>
      </c>
      <c r="E233" s="15" t="n">
        <v>0.98</v>
      </c>
      <c r="F233" s="26" t="n">
        <v>143</v>
      </c>
      <c r="G233" s="16" t="n">
        <f aca="false">F233*1.25</f>
        <v>178.75</v>
      </c>
      <c r="H233" s="16" t="n">
        <f aca="false">J233*0.6</f>
        <v>105.105</v>
      </c>
      <c r="I233" s="16" t="n">
        <f aca="false">J233*0.4</f>
        <v>70.07</v>
      </c>
      <c r="J233" s="16" t="n">
        <f aca="false">ROUND(E233,2)*(ROUND(G233,2))</f>
        <v>175.175</v>
      </c>
    </row>
    <row r="234" customFormat="false" ht="32.8" hidden="false" customHeight="false" outlineLevel="0" collapsed="false">
      <c r="A234" s="13" t="n">
        <v>98546</v>
      </c>
      <c r="B234" s="21" t="s">
        <v>394</v>
      </c>
      <c r="C234" s="13" t="s">
        <v>129</v>
      </c>
      <c r="D234" s="14" t="s">
        <v>23</v>
      </c>
      <c r="E234" s="15" t="n">
        <v>0.98</v>
      </c>
      <c r="F234" s="26" t="n">
        <v>89.48</v>
      </c>
      <c r="G234" s="16" t="n">
        <f aca="false">F234*1.25</f>
        <v>111.85</v>
      </c>
      <c r="H234" s="16" t="n">
        <f aca="false">J234*0.6</f>
        <v>65.7678</v>
      </c>
      <c r="I234" s="16" t="n">
        <f aca="false">J234*0.4</f>
        <v>43.8452</v>
      </c>
      <c r="J234" s="16" t="n">
        <f aca="false">ROUND(E234,2)*(ROUND(G234,2))</f>
        <v>109.613</v>
      </c>
    </row>
    <row r="235" customFormat="false" ht="43.25" hidden="false" customHeight="false" outlineLevel="0" collapsed="false">
      <c r="A235" s="37" t="n">
        <v>87690</v>
      </c>
      <c r="B235" s="38" t="s">
        <v>395</v>
      </c>
      <c r="C235" s="39" t="s">
        <v>396</v>
      </c>
      <c r="D235" s="40" t="s">
        <v>23</v>
      </c>
      <c r="E235" s="41" t="n">
        <v>0.78</v>
      </c>
      <c r="F235" s="26" t="n">
        <v>39.08</v>
      </c>
      <c r="G235" s="16" t="n">
        <f aca="false">F235*1.25</f>
        <v>48.85</v>
      </c>
      <c r="H235" s="42" t="n">
        <f aca="false">J235*0.6</f>
        <v>22.8618</v>
      </c>
      <c r="I235" s="42" t="n">
        <f aca="false">J235*0.4</f>
        <v>15.2412</v>
      </c>
      <c r="J235" s="16" t="n">
        <f aca="false">ROUND(E235,2)*(ROUND(G235,2))</f>
        <v>38.103</v>
      </c>
    </row>
    <row r="236" customFormat="false" ht="22.35" hidden="false" customHeight="false" outlineLevel="0" collapsed="false">
      <c r="A236" s="12" t="n">
        <v>43692</v>
      </c>
      <c r="B236" s="38" t="s">
        <v>397</v>
      </c>
      <c r="C236" s="13" t="s">
        <v>398</v>
      </c>
      <c r="D236" s="15" t="s">
        <v>53</v>
      </c>
      <c r="E236" s="15" t="n">
        <f aca="false">(1.2+2.1+1.2+2.1+2.1+2.1)*4.47</f>
        <v>48.276</v>
      </c>
      <c r="F236" s="16" t="n">
        <f aca="false">12.12+(12.12*0.4)</f>
        <v>16.968</v>
      </c>
      <c r="G236" s="26" t="n">
        <f aca="false">F236*1.25</f>
        <v>21.21</v>
      </c>
      <c r="H236" s="16" t="n">
        <f aca="false">J236*0.6</f>
        <v>614.360376</v>
      </c>
      <c r="I236" s="16" t="n">
        <f aca="false">J236*0.4</f>
        <v>409.573584</v>
      </c>
      <c r="J236" s="26" t="n">
        <f aca="false">G236*E236</f>
        <v>1023.93396</v>
      </c>
    </row>
    <row r="237" customFormat="false" ht="32.8" hidden="false" customHeight="false" outlineLevel="0" collapsed="false">
      <c r="A237" s="12" t="n">
        <v>7156</v>
      </c>
      <c r="B237" s="38" t="s">
        <v>399</v>
      </c>
      <c r="C237" s="13" t="s">
        <v>400</v>
      </c>
      <c r="D237" s="14" t="s">
        <v>23</v>
      </c>
      <c r="E237" s="15" t="n">
        <f aca="false">1.2*2.1</f>
        <v>2.52</v>
      </c>
      <c r="F237" s="16" t="n">
        <f aca="false">50.6+(50.6*0.4)</f>
        <v>70.84</v>
      </c>
      <c r="G237" s="16" t="n">
        <f aca="false">F237*1.25</f>
        <v>88.55</v>
      </c>
      <c r="H237" s="16" t="n">
        <f aca="false">J237*0.6</f>
        <v>133.8876</v>
      </c>
      <c r="I237" s="16" t="n">
        <f aca="false">J237*0.4</f>
        <v>89.2584</v>
      </c>
      <c r="J237" s="16" t="n">
        <f aca="false">G237*E237</f>
        <v>223.146</v>
      </c>
    </row>
    <row r="238" customFormat="false" ht="32.8" hidden="false" customHeight="false" outlineLevel="0" collapsed="false">
      <c r="A238" s="12" t="n">
        <v>43613</v>
      </c>
      <c r="B238" s="38" t="s">
        <v>401</v>
      </c>
      <c r="C238" s="13" t="s">
        <v>402</v>
      </c>
      <c r="D238" s="14" t="s">
        <v>403</v>
      </c>
      <c r="E238" s="15" t="n">
        <v>1</v>
      </c>
      <c r="F238" s="16" t="n">
        <f aca="false">65.08+(65.08*0.4)</f>
        <v>91.112</v>
      </c>
      <c r="G238" s="16" t="n">
        <f aca="false">F238*1.25</f>
        <v>113.89</v>
      </c>
      <c r="H238" s="16" t="n">
        <f aca="false">J238*0.6</f>
        <v>68.334</v>
      </c>
      <c r="I238" s="16" t="n">
        <f aca="false">J238*0.4</f>
        <v>45.556</v>
      </c>
      <c r="J238" s="16" t="n">
        <f aca="false">G238*E238</f>
        <v>113.89</v>
      </c>
    </row>
    <row r="239" customFormat="false" ht="32.8" hidden="false" customHeight="false" outlineLevel="0" collapsed="false">
      <c r="A239" s="12" t="n">
        <v>100709</v>
      </c>
      <c r="B239" s="38" t="s">
        <v>404</v>
      </c>
      <c r="C239" s="13" t="s">
        <v>405</v>
      </c>
      <c r="D239" s="14" t="s">
        <v>27</v>
      </c>
      <c r="E239" s="15" t="n">
        <v>6</v>
      </c>
      <c r="F239" s="16" t="n">
        <v>40.58</v>
      </c>
      <c r="G239" s="16" t="n">
        <f aca="false">F239*1.25</f>
        <v>50.725</v>
      </c>
      <c r="H239" s="16" t="n">
        <f aca="false">J239*0.6</f>
        <v>182.61</v>
      </c>
      <c r="I239" s="16" t="n">
        <f aca="false">J239*0.4</f>
        <v>121.74</v>
      </c>
      <c r="J239" s="16" t="n">
        <f aca="false">G239*E239</f>
        <v>304.35</v>
      </c>
    </row>
    <row r="240" customFormat="false" ht="22.35" hidden="false" customHeight="false" outlineLevel="0" collapsed="false">
      <c r="A240" s="21" t="s">
        <v>406</v>
      </c>
      <c r="B240" s="38" t="s">
        <v>407</v>
      </c>
      <c r="C240" s="35" t="s">
        <v>408</v>
      </c>
      <c r="D240" s="21" t="s">
        <v>27</v>
      </c>
      <c r="E240" s="29" t="n">
        <v>15</v>
      </c>
      <c r="F240" s="26" t="n">
        <f aca="false">0.68+(0.68*0.4)</f>
        <v>0.952</v>
      </c>
      <c r="G240" s="16" t="n">
        <f aca="false">F240*1.25</f>
        <v>1.19</v>
      </c>
      <c r="H240" s="16" t="n">
        <f aca="false">G240*0.6</f>
        <v>0.714</v>
      </c>
      <c r="I240" s="16" t="n">
        <f aca="false">G240*0.4</f>
        <v>0.476</v>
      </c>
      <c r="J240" s="16" t="n">
        <f aca="false">ROUND(E240,2)*(ROUND(G240,2))</f>
        <v>17.85</v>
      </c>
    </row>
    <row r="241" customFormat="false" ht="22.35" hidden="false" customHeight="false" outlineLevel="0" collapsed="false">
      <c r="A241" s="21" t="n">
        <v>99620</v>
      </c>
      <c r="B241" s="38" t="s">
        <v>409</v>
      </c>
      <c r="C241" s="43" t="s">
        <v>410</v>
      </c>
      <c r="D241" s="21" t="s">
        <v>27</v>
      </c>
      <c r="E241" s="29" t="n">
        <v>3</v>
      </c>
      <c r="F241" s="26" t="n">
        <v>174.47</v>
      </c>
      <c r="G241" s="16" t="n">
        <f aca="false">F241*1.25</f>
        <v>218.0875</v>
      </c>
      <c r="H241" s="16" t="n">
        <f aca="false">G241*0.6</f>
        <v>130.8525</v>
      </c>
      <c r="I241" s="29" t="n">
        <f aca="false">G241*0.4</f>
        <v>87.235</v>
      </c>
      <c r="J241" s="16" t="n">
        <f aca="false">ROUND(E241,2)*(ROUND(G241,2))</f>
        <v>654.27</v>
      </c>
    </row>
    <row r="242" customFormat="false" ht="23.85" hidden="false" customHeight="false" outlineLevel="0" collapsed="false">
      <c r="A242" s="9" t="s">
        <v>411</v>
      </c>
      <c r="B242" s="38" t="s">
        <v>412</v>
      </c>
      <c r="C242" s="44" t="s">
        <v>413</v>
      </c>
      <c r="D242" s="21" t="s">
        <v>27</v>
      </c>
      <c r="E242" s="29" t="n">
        <v>1</v>
      </c>
      <c r="F242" s="26" t="n">
        <f aca="false">500+(500*0.4)</f>
        <v>700</v>
      </c>
      <c r="G242" s="16" t="n">
        <f aca="false">F242*1.25</f>
        <v>875</v>
      </c>
      <c r="H242" s="16" t="n">
        <f aca="false">G242*0.6</f>
        <v>525</v>
      </c>
      <c r="I242" s="16" t="n">
        <f aca="false">G242*0.4</f>
        <v>350</v>
      </c>
      <c r="J242" s="16" t="n">
        <f aca="false">ROUND(E242,2)*(ROUND(G242,2))</f>
        <v>875</v>
      </c>
    </row>
    <row r="243" customFormat="false" ht="22.35" hidden="false" customHeight="false" outlineLevel="0" collapsed="false">
      <c r="A243" s="9" t="s">
        <v>411</v>
      </c>
      <c r="B243" s="38" t="s">
        <v>414</v>
      </c>
      <c r="C243" s="43" t="s">
        <v>415</v>
      </c>
      <c r="D243" s="21" t="s">
        <v>27</v>
      </c>
      <c r="E243" s="29" t="n">
        <v>1</v>
      </c>
      <c r="F243" s="26" t="n">
        <f aca="false">270+(270*0.4)</f>
        <v>378</v>
      </c>
      <c r="G243" s="16" t="n">
        <f aca="false">F243*1.25</f>
        <v>472.5</v>
      </c>
      <c r="H243" s="16" t="n">
        <f aca="false">G243*0.6</f>
        <v>283.5</v>
      </c>
      <c r="I243" s="16" t="n">
        <f aca="false">G243*0.4</f>
        <v>189</v>
      </c>
      <c r="J243" s="16" t="n">
        <f aca="false">ROUND(E243,2)*(ROUND(G243,2))</f>
        <v>472.5</v>
      </c>
    </row>
    <row r="244" customFormat="false" ht="43.25" hidden="false" customHeight="false" outlineLevel="0" collapsed="false">
      <c r="A244" s="21" t="n">
        <v>92706</v>
      </c>
      <c r="B244" s="38" t="s">
        <v>416</v>
      </c>
      <c r="C244" s="45" t="s">
        <v>417</v>
      </c>
      <c r="D244" s="21" t="s">
        <v>27</v>
      </c>
      <c r="E244" s="29" t="n">
        <v>1</v>
      </c>
      <c r="F244" s="26" t="n">
        <v>55.13</v>
      </c>
      <c r="G244" s="16" t="n">
        <f aca="false">F244*1.25</f>
        <v>68.9125</v>
      </c>
      <c r="H244" s="16" t="n">
        <f aca="false">G244*0.6</f>
        <v>41.3475</v>
      </c>
      <c r="I244" s="16" t="n">
        <f aca="false">G244*0.4</f>
        <v>27.565</v>
      </c>
      <c r="J244" s="16" t="n">
        <f aca="false">ROUND(E244,2)*(ROUND(G244,2))</f>
        <v>68.91</v>
      </c>
    </row>
    <row r="245" customFormat="false" ht="43.25" hidden="false" customHeight="false" outlineLevel="0" collapsed="false">
      <c r="A245" s="21" t="n">
        <v>92704</v>
      </c>
      <c r="B245" s="38" t="s">
        <v>418</v>
      </c>
      <c r="C245" s="45" t="s">
        <v>419</v>
      </c>
      <c r="D245" s="21" t="s">
        <v>27</v>
      </c>
      <c r="E245" s="29" t="n">
        <v>1</v>
      </c>
      <c r="F245" s="26" t="n">
        <v>21.28</v>
      </c>
      <c r="G245" s="16" t="n">
        <f aca="false">F245*1.25</f>
        <v>26.6</v>
      </c>
      <c r="H245" s="16" t="n">
        <f aca="false">G245*0.6</f>
        <v>15.96</v>
      </c>
      <c r="I245" s="16" t="n">
        <f aca="false">G245*0.4</f>
        <v>10.64</v>
      </c>
      <c r="J245" s="16" t="n">
        <f aca="false">ROUND(E245,2)*(ROUND(G245,2))</f>
        <v>26.6</v>
      </c>
    </row>
    <row r="246" customFormat="false" ht="43.25" hidden="false" customHeight="false" outlineLevel="0" collapsed="false">
      <c r="A246" s="21" t="n">
        <v>97536</v>
      </c>
      <c r="B246" s="38" t="s">
        <v>420</v>
      </c>
      <c r="C246" s="43" t="s">
        <v>421</v>
      </c>
      <c r="D246" s="21" t="s">
        <v>38</v>
      </c>
      <c r="E246" s="29" t="n">
        <f aca="false">1.5+2.2+2.55+2.9+2.8</f>
        <v>11.95</v>
      </c>
      <c r="F246" s="26" t="n">
        <v>73.11</v>
      </c>
      <c r="G246" s="16" t="n">
        <f aca="false">F246*1.25</f>
        <v>91.3875</v>
      </c>
      <c r="H246" s="16" t="n">
        <f aca="false">G246*0.6</f>
        <v>54.8325</v>
      </c>
      <c r="I246" s="16" t="n">
        <f aca="false">G246*0.4</f>
        <v>36.555</v>
      </c>
      <c r="J246" s="16" t="n">
        <f aca="false">ROUND(E246,2)*(ROUND(G246,2))</f>
        <v>1092.1105</v>
      </c>
    </row>
    <row r="247" customFormat="false" ht="22.35" hidden="false" customHeight="false" outlineLevel="0" collapsed="false">
      <c r="A247" s="24" t="n">
        <v>90436</v>
      </c>
      <c r="B247" s="38" t="s">
        <v>422</v>
      </c>
      <c r="C247" s="46" t="s">
        <v>423</v>
      </c>
      <c r="D247" s="24" t="s">
        <v>27</v>
      </c>
      <c r="E247" s="47" t="n">
        <v>1</v>
      </c>
      <c r="F247" s="26" t="n">
        <v>11.96</v>
      </c>
      <c r="G247" s="16" t="n">
        <f aca="false">F247*1.25</f>
        <v>14.95</v>
      </c>
      <c r="H247" s="26" t="n">
        <f aca="false">G247*0.6</f>
        <v>8.97</v>
      </c>
      <c r="I247" s="26" t="n">
        <f aca="false">G247*0.4</f>
        <v>5.98</v>
      </c>
      <c r="J247" s="16" t="n">
        <f aca="false">ROUND(E247,2)*(ROUND(G247,2))</f>
        <v>14.95</v>
      </c>
    </row>
    <row r="248" customFormat="false" ht="43.25" hidden="false" customHeight="false" outlineLevel="0" collapsed="false">
      <c r="A248" s="21" t="n">
        <v>100722</v>
      </c>
      <c r="B248" s="38" t="s">
        <v>424</v>
      </c>
      <c r="C248" s="43" t="s">
        <v>425</v>
      </c>
      <c r="D248" s="21" t="s">
        <v>23</v>
      </c>
      <c r="E248" s="29" t="n">
        <f aca="false">18.2*0.6</f>
        <v>10.92</v>
      </c>
      <c r="F248" s="26" t="n">
        <v>18.73</v>
      </c>
      <c r="G248" s="16" t="n">
        <f aca="false">F248*1.25</f>
        <v>23.4125</v>
      </c>
      <c r="H248" s="16" t="n">
        <f aca="false">G248*0.6</f>
        <v>14.0475</v>
      </c>
      <c r="I248" s="16" t="n">
        <f aca="false">G248*0.4</f>
        <v>9.365</v>
      </c>
      <c r="J248" s="16" t="n">
        <f aca="false">ROUND(E248,2)*(ROUND(G248,2))</f>
        <v>255.6372</v>
      </c>
    </row>
    <row r="249" customFormat="false" ht="43.25" hidden="false" customHeight="false" outlineLevel="0" collapsed="false">
      <c r="A249" s="21" t="n">
        <v>100736</v>
      </c>
      <c r="B249" s="38" t="s">
        <v>426</v>
      </c>
      <c r="C249" s="43" t="s">
        <v>427</v>
      </c>
      <c r="D249" s="21" t="s">
        <v>23</v>
      </c>
      <c r="E249" s="29" t="n">
        <f aca="false">E248</f>
        <v>10.92</v>
      </c>
      <c r="F249" s="26" t="n">
        <v>11.25</v>
      </c>
      <c r="G249" s="16" t="n">
        <f aca="false">F249*1.25</f>
        <v>14.0625</v>
      </c>
      <c r="H249" s="16" t="n">
        <f aca="false">G249*0.6</f>
        <v>8.4375</v>
      </c>
      <c r="I249" s="16" t="n">
        <f aca="false">G249*0.4</f>
        <v>5.625</v>
      </c>
      <c r="J249" s="16" t="n">
        <f aca="false">ROUND(E249,2)*(ROUND(G249,2))</f>
        <v>153.5352</v>
      </c>
    </row>
    <row r="250" customFormat="false" ht="43.25" hidden="false" customHeight="false" outlineLevel="0" collapsed="false">
      <c r="A250" s="21" t="n">
        <v>92696</v>
      </c>
      <c r="B250" s="38" t="s">
        <v>428</v>
      </c>
      <c r="C250" s="45" t="s">
        <v>429</v>
      </c>
      <c r="D250" s="21" t="s">
        <v>27</v>
      </c>
      <c r="E250" s="29" t="n">
        <v>8</v>
      </c>
      <c r="F250" s="26" t="n">
        <v>28.21</v>
      </c>
      <c r="G250" s="16" t="n">
        <f aca="false">F250*1.25</f>
        <v>35.2625</v>
      </c>
      <c r="H250" s="16" t="n">
        <f aca="false">G250*0.6</f>
        <v>21.1575</v>
      </c>
      <c r="I250" s="16" t="n">
        <f aca="false">G250*0.4</f>
        <v>14.105</v>
      </c>
      <c r="J250" s="16" t="n">
        <f aca="false">ROUND(E250,2)*(ROUND(G250,2))</f>
        <v>282.08</v>
      </c>
    </row>
    <row r="251" customFormat="false" ht="43.25" hidden="false" customHeight="false" outlineLevel="0" collapsed="false">
      <c r="A251" s="21" t="n">
        <v>92692</v>
      </c>
      <c r="B251" s="38" t="s">
        <v>430</v>
      </c>
      <c r="C251" s="45" t="s">
        <v>431</v>
      </c>
      <c r="D251" s="21" t="s">
        <v>27</v>
      </c>
      <c r="E251" s="29" t="n">
        <v>3</v>
      </c>
      <c r="F251" s="26" t="n">
        <v>11.45</v>
      </c>
      <c r="G251" s="16" t="n">
        <f aca="false">F251*1.25</f>
        <v>14.3125</v>
      </c>
      <c r="H251" s="16" t="n">
        <f aca="false">G251*0.6</f>
        <v>8.5875</v>
      </c>
      <c r="I251" s="16" t="n">
        <f aca="false">G251*0.4</f>
        <v>5.725</v>
      </c>
      <c r="J251" s="16" t="n">
        <f aca="false">ROUND(E251,2)*(ROUND(G251,2))</f>
        <v>42.93</v>
      </c>
    </row>
    <row r="252" customFormat="false" ht="43.25" hidden="false" customHeight="false" outlineLevel="0" collapsed="false">
      <c r="A252" s="21" t="n">
        <v>97544</v>
      </c>
      <c r="B252" s="38" t="s">
        <v>432</v>
      </c>
      <c r="C252" s="45" t="s">
        <v>433</v>
      </c>
      <c r="D252" s="21" t="s">
        <v>27</v>
      </c>
      <c r="E252" s="29" t="n">
        <v>2</v>
      </c>
      <c r="F252" s="26" t="n">
        <v>55.33</v>
      </c>
      <c r="G252" s="16" t="n">
        <f aca="false">F252*1.25</f>
        <v>69.1625</v>
      </c>
      <c r="H252" s="16" t="n">
        <f aca="false">G252*0.6</f>
        <v>41.4975</v>
      </c>
      <c r="I252" s="16" t="n">
        <f aca="false">G252*0.4</f>
        <v>27.665</v>
      </c>
      <c r="J252" s="16" t="n">
        <f aca="false">ROUND(E252,2)*(ROUND(G252,2))</f>
        <v>138.32</v>
      </c>
    </row>
    <row r="253" customFormat="false" ht="43.25" hidden="false" customHeight="false" outlineLevel="0" collapsed="false">
      <c r="A253" s="21" t="n">
        <v>92906</v>
      </c>
      <c r="B253" s="38" t="s">
        <v>434</v>
      </c>
      <c r="C253" s="9" t="s">
        <v>435</v>
      </c>
      <c r="D253" s="21" t="s">
        <v>27</v>
      </c>
      <c r="E253" s="29" t="n">
        <v>2</v>
      </c>
      <c r="F253" s="26" t="n">
        <v>46.09</v>
      </c>
      <c r="G253" s="16" t="n">
        <f aca="false">F253*1.25</f>
        <v>57.6125</v>
      </c>
      <c r="H253" s="16" t="n">
        <f aca="false">G253*0.6</f>
        <v>34.5675</v>
      </c>
      <c r="I253" s="16" t="n">
        <f aca="false">G253*0.4</f>
        <v>23.045</v>
      </c>
      <c r="J253" s="16" t="n">
        <f aca="false">ROUND(E253,2)*(ROUND(G253,2))</f>
        <v>115.22</v>
      </c>
    </row>
    <row r="254" customFormat="false" ht="43.25" hidden="false" customHeight="false" outlineLevel="0" collapsed="false">
      <c r="A254" s="21" t="n">
        <v>92703</v>
      </c>
      <c r="B254" s="38" t="s">
        <v>436</v>
      </c>
      <c r="C254" s="45" t="s">
        <v>437</v>
      </c>
      <c r="D254" s="21" t="s">
        <v>27</v>
      </c>
      <c r="E254" s="29" t="n">
        <v>7</v>
      </c>
      <c r="F254" s="26" t="n">
        <v>40.77</v>
      </c>
      <c r="G254" s="16" t="n">
        <f aca="false">F254*1.25</f>
        <v>50.9625</v>
      </c>
      <c r="H254" s="16" t="n">
        <f aca="false">G254*0.6</f>
        <v>30.5775</v>
      </c>
      <c r="I254" s="16" t="n">
        <f aca="false">G254*0.4</f>
        <v>20.385</v>
      </c>
      <c r="J254" s="16" t="n">
        <f aca="false">ROUND(E254,2)*(ROUND(G254,2))</f>
        <v>356.72</v>
      </c>
    </row>
    <row r="255" customFormat="false" ht="22.35" hidden="false" customHeight="false" outlineLevel="0" collapsed="false">
      <c r="A255" s="21" t="s">
        <v>438</v>
      </c>
      <c r="B255" s="38" t="s">
        <v>439</v>
      </c>
      <c r="C255" s="9" t="s">
        <v>440</v>
      </c>
      <c r="D255" s="21" t="s">
        <v>27</v>
      </c>
      <c r="E255" s="29" t="n">
        <v>1</v>
      </c>
      <c r="F255" s="26" t="n">
        <f aca="false">42.98+(42.98*0.4)</f>
        <v>60.172</v>
      </c>
      <c r="G255" s="16" t="n">
        <f aca="false">F255*1.25</f>
        <v>75.215</v>
      </c>
      <c r="H255" s="16" t="n">
        <f aca="false">G255*0.6</f>
        <v>45.129</v>
      </c>
      <c r="I255" s="16" t="n">
        <f aca="false">G255*0.4</f>
        <v>30.086</v>
      </c>
      <c r="J255" s="16" t="n">
        <f aca="false">ROUND(E255,2)*(ROUND(G255,2))</f>
        <v>75.22</v>
      </c>
    </row>
    <row r="256" customFormat="false" ht="22.35" hidden="false" customHeight="false" outlineLevel="0" collapsed="false">
      <c r="A256" s="9" t="s">
        <v>411</v>
      </c>
      <c r="B256" s="38" t="s">
        <v>441</v>
      </c>
      <c r="C256" s="9" t="s">
        <v>442</v>
      </c>
      <c r="D256" s="21" t="s">
        <v>27</v>
      </c>
      <c r="E256" s="29" t="n">
        <v>1</v>
      </c>
      <c r="F256" s="26" t="n">
        <f aca="false">130+(130*0.4)</f>
        <v>182</v>
      </c>
      <c r="G256" s="16" t="n">
        <f aca="false">F256*1.25</f>
        <v>227.5</v>
      </c>
      <c r="H256" s="16" t="n">
        <f aca="false">G256*0.6</f>
        <v>136.5</v>
      </c>
      <c r="I256" s="16" t="n">
        <f aca="false">G256*0.4</f>
        <v>91</v>
      </c>
      <c r="J256" s="16" t="n">
        <f aca="false">ROUND(E256,2)*(ROUND(G256,2))</f>
        <v>227.5</v>
      </c>
    </row>
    <row r="257" customFormat="false" ht="22.35" hidden="false" customHeight="false" outlineLevel="0" collapsed="false">
      <c r="A257" s="9" t="s">
        <v>411</v>
      </c>
      <c r="B257" s="38" t="s">
        <v>443</v>
      </c>
      <c r="C257" s="9" t="s">
        <v>444</v>
      </c>
      <c r="D257" s="21" t="s">
        <v>27</v>
      </c>
      <c r="E257" s="29" t="n">
        <v>2</v>
      </c>
      <c r="F257" s="26" t="n">
        <f aca="false">40.4+(40.4*0.4)</f>
        <v>56.56</v>
      </c>
      <c r="G257" s="16" t="n">
        <f aca="false">F257*1.25</f>
        <v>70.7</v>
      </c>
      <c r="H257" s="16" t="n">
        <f aca="false">G257*0.6</f>
        <v>42.42</v>
      </c>
      <c r="I257" s="16" t="n">
        <f aca="false">G257*0.4</f>
        <v>28.28</v>
      </c>
      <c r="J257" s="16" t="n">
        <f aca="false">ROUND(E257,2)*(ROUND(G257,2))</f>
        <v>141.4</v>
      </c>
    </row>
    <row r="258" customFormat="false" ht="13.8" hidden="false" customHeight="false" outlineLevel="0" collapsed="false">
      <c r="A258" s="21" t="s">
        <v>445</v>
      </c>
      <c r="B258" s="38" t="s">
        <v>446</v>
      </c>
      <c r="C258" s="9" t="s">
        <v>447</v>
      </c>
      <c r="D258" s="21" t="s">
        <v>27</v>
      </c>
      <c r="E258" s="29" t="n">
        <v>2</v>
      </c>
      <c r="F258" s="26" t="n">
        <f aca="false">11.74+(11.74*0.4)</f>
        <v>16.436</v>
      </c>
      <c r="G258" s="16" t="n">
        <f aca="false">F258*1.25</f>
        <v>20.545</v>
      </c>
      <c r="H258" s="16" t="n">
        <f aca="false">G258*0.6</f>
        <v>12.327</v>
      </c>
      <c r="I258" s="16" t="n">
        <f aca="false">G258*0.4</f>
        <v>8.218</v>
      </c>
      <c r="J258" s="16" t="n">
        <f aca="false">ROUND(E258,2)*(ROUND(G258,2))</f>
        <v>41.1</v>
      </c>
    </row>
    <row r="259" customFormat="false" ht="32.8" hidden="false" customHeight="false" outlineLevel="0" collapsed="false">
      <c r="A259" s="9" t="s">
        <v>411</v>
      </c>
      <c r="B259" s="38" t="s">
        <v>448</v>
      </c>
      <c r="C259" s="9" t="s">
        <v>449</v>
      </c>
      <c r="D259" s="21" t="s">
        <v>27</v>
      </c>
      <c r="E259" s="29" t="n">
        <v>1</v>
      </c>
      <c r="F259" s="26" t="n">
        <v>1500</v>
      </c>
      <c r="G259" s="16" t="n">
        <f aca="false">F259*1.25</f>
        <v>1875</v>
      </c>
      <c r="H259" s="16" t="n">
        <f aca="false">G259*0.6</f>
        <v>1125</v>
      </c>
      <c r="I259" s="16" t="n">
        <f aca="false">G259*0.4</f>
        <v>750</v>
      </c>
      <c r="J259" s="16" t="n">
        <f aca="false">ROUND(E259,2)*(ROUND(G259,2))</f>
        <v>1875</v>
      </c>
    </row>
    <row r="260" customFormat="false" ht="13.8" hidden="false" customHeight="false" outlineLevel="0" collapsed="false">
      <c r="A260" s="18"/>
      <c r="B260" s="18"/>
      <c r="C260" s="18"/>
      <c r="D260" s="18"/>
      <c r="E260" s="18"/>
      <c r="F260" s="18"/>
      <c r="G260" s="18"/>
      <c r="H260" s="18"/>
      <c r="I260" s="19" t="s">
        <v>32</v>
      </c>
      <c r="J260" s="20" t="n">
        <f aca="false">SUM(J224:J259)</f>
        <v>9617.16036</v>
      </c>
    </row>
    <row r="261" customFormat="false" ht="13.8" hidden="false" customHeight="false" outlineLevel="0" collapsed="false">
      <c r="A261" s="10"/>
      <c r="B261" s="10"/>
      <c r="C261" s="10"/>
      <c r="D261" s="10"/>
      <c r="E261" s="10"/>
      <c r="F261" s="10"/>
      <c r="G261" s="10" t="s">
        <v>450</v>
      </c>
      <c r="H261" s="10"/>
      <c r="I261" s="10"/>
      <c r="J261" s="48" t="n">
        <f aca="false">J260+J223+J190+J173+J154+J145+J127+J106+J99+J84+J79+J61+J56+J42+J38+J29+J22</f>
        <v>637826.31936</v>
      </c>
    </row>
    <row r="262" customFormat="false" ht="32.8" hidden="false" customHeight="false" outlineLevel="0" collapsed="false">
      <c r="A262" s="9" t="s">
        <v>451</v>
      </c>
      <c r="B262" s="9" t="s">
        <v>10</v>
      </c>
      <c r="C262" s="9" t="s">
        <v>11</v>
      </c>
      <c r="D262" s="9" t="s">
        <v>12</v>
      </c>
      <c r="E262" s="9" t="s">
        <v>13</v>
      </c>
      <c r="F262" s="9" t="s">
        <v>14</v>
      </c>
      <c r="G262" s="9" t="s">
        <v>8</v>
      </c>
      <c r="H262" s="9" t="s">
        <v>15</v>
      </c>
      <c r="I262" s="9" t="s">
        <v>16</v>
      </c>
      <c r="J262" s="9" t="s">
        <v>17</v>
      </c>
    </row>
    <row r="263" customFormat="false" ht="13.8" hidden="false" customHeight="false" outlineLevel="0" collapsed="false">
      <c r="A263" s="10" t="s">
        <v>452</v>
      </c>
      <c r="B263" s="10"/>
      <c r="C263" s="10"/>
      <c r="D263" s="10"/>
      <c r="E263" s="10"/>
      <c r="F263" s="10"/>
      <c r="G263" s="10"/>
      <c r="H263" s="10"/>
      <c r="I263" s="10"/>
      <c r="J263" s="10"/>
    </row>
    <row r="264" customFormat="false" ht="13.8" hidden="false" customHeight="false" outlineLevel="0" collapsed="false">
      <c r="A264" s="11" t="s">
        <v>453</v>
      </c>
      <c r="B264" s="11"/>
      <c r="C264" s="11"/>
      <c r="D264" s="11"/>
      <c r="E264" s="11"/>
      <c r="F264" s="11"/>
      <c r="G264" s="11"/>
      <c r="H264" s="11"/>
      <c r="I264" s="11"/>
      <c r="J264" s="11"/>
    </row>
    <row r="265" customFormat="false" ht="13.8" hidden="false" customHeight="false" outlineLevel="0" collapsed="false">
      <c r="A265" s="23" t="s">
        <v>454</v>
      </c>
      <c r="B265" s="23"/>
      <c r="C265" s="23"/>
      <c r="D265" s="23"/>
      <c r="E265" s="23"/>
      <c r="F265" s="23"/>
      <c r="G265" s="23"/>
      <c r="H265" s="23"/>
      <c r="I265" s="23"/>
      <c r="J265" s="23"/>
    </row>
    <row r="266" customFormat="false" ht="22.35" hidden="false" customHeight="false" outlineLevel="0" collapsed="false">
      <c r="A266" s="12" t="n">
        <v>97633</v>
      </c>
      <c r="B266" s="21" t="s">
        <v>455</v>
      </c>
      <c r="C266" s="13" t="s">
        <v>456</v>
      </c>
      <c r="D266" s="14" t="s">
        <v>23</v>
      </c>
      <c r="E266" s="15" t="n">
        <f aca="false">42.9+14.76</f>
        <v>57.66</v>
      </c>
      <c r="F266" s="26" t="n">
        <v>18.24</v>
      </c>
      <c r="G266" s="16" t="n">
        <f aca="false">F266*1.25</f>
        <v>22.8</v>
      </c>
      <c r="H266" s="16" t="n">
        <f aca="false">J266*0.6</f>
        <v>788.7888</v>
      </c>
      <c r="I266" s="16" t="n">
        <f aca="false">J266*0.4</f>
        <v>525.8592</v>
      </c>
      <c r="J266" s="16" t="n">
        <f aca="false">ROUND(E266,2)*(ROUND(G266,2))</f>
        <v>1314.648</v>
      </c>
    </row>
    <row r="267" customFormat="false" ht="22.35" hidden="false" customHeight="false" outlineLevel="0" collapsed="false">
      <c r="A267" s="12" t="n">
        <v>97622</v>
      </c>
      <c r="B267" s="21" t="s">
        <v>457</v>
      </c>
      <c r="C267" s="13" t="s">
        <v>458</v>
      </c>
      <c r="D267" s="14" t="s">
        <v>41</v>
      </c>
      <c r="E267" s="15" t="n">
        <f aca="false">(0.5*1.1*0.15)+(0.62*1.1*0.15)+(3.33*1.1*0.15)</f>
        <v>0.73425</v>
      </c>
      <c r="F267" s="26" t="n">
        <v>46.12</v>
      </c>
      <c r="G267" s="16" t="n">
        <f aca="false">F267*1.25</f>
        <v>57.65</v>
      </c>
      <c r="H267" s="16" t="n">
        <f aca="false">J267*0.6</f>
        <v>25.2507</v>
      </c>
      <c r="I267" s="16" t="n">
        <f aca="false">J267*0.4</f>
        <v>16.8338</v>
      </c>
      <c r="J267" s="16" t="n">
        <f aca="false">ROUND(E267,2)*(ROUND(G267,2))</f>
        <v>42.0845</v>
      </c>
    </row>
    <row r="268" customFormat="false" ht="22.35" hidden="false" customHeight="false" outlineLevel="0" collapsed="false">
      <c r="A268" s="12" t="n">
        <v>97637</v>
      </c>
      <c r="B268" s="21" t="s">
        <v>459</v>
      </c>
      <c r="C268" s="13" t="s">
        <v>460</v>
      </c>
      <c r="D268" s="14" t="s">
        <v>23</v>
      </c>
      <c r="E268" s="15" t="n">
        <f aca="false">(3.34*1.7)+(3.33*2.8)+(3.33*1.7)+(3.28*1.7)+(3.3*1.7)+(3.28*1.7)</f>
        <v>37.425</v>
      </c>
      <c r="F268" s="26" t="n">
        <v>2.25</v>
      </c>
      <c r="G268" s="16" t="n">
        <f aca="false">F268*1.25</f>
        <v>2.8125</v>
      </c>
      <c r="H268" s="16" t="n">
        <f aca="false">J268*0.6</f>
        <v>63.10698</v>
      </c>
      <c r="I268" s="16" t="n">
        <f aca="false">J268*0.4</f>
        <v>42.07132</v>
      </c>
      <c r="J268" s="16" t="n">
        <f aca="false">ROUND(E268,2)*(ROUND(G268,2))</f>
        <v>105.1783</v>
      </c>
    </row>
    <row r="269" customFormat="false" ht="13.8" hidden="false" customHeight="false" outlineLevel="0" collapsed="false">
      <c r="A269" s="23" t="s">
        <v>461</v>
      </c>
      <c r="B269" s="23"/>
      <c r="C269" s="23"/>
      <c r="D269" s="23"/>
      <c r="E269" s="23"/>
      <c r="F269" s="23"/>
      <c r="G269" s="23"/>
      <c r="H269" s="23"/>
      <c r="I269" s="23"/>
      <c r="J269" s="23"/>
    </row>
    <row r="270" customFormat="false" ht="22.35" hidden="false" customHeight="false" outlineLevel="0" collapsed="false">
      <c r="A270" s="21" t="n">
        <v>96522</v>
      </c>
      <c r="B270" s="13" t="s">
        <v>462</v>
      </c>
      <c r="C270" s="22" t="s">
        <v>43</v>
      </c>
      <c r="D270" s="14" t="s">
        <v>41</v>
      </c>
      <c r="E270" s="14" t="n">
        <f aca="false">(0.6*0.6*0.5*3)</f>
        <v>0.54</v>
      </c>
      <c r="F270" s="26" t="n">
        <v>124.48</v>
      </c>
      <c r="G270" s="16" t="n">
        <f aca="false">F270*1.25</f>
        <v>155.6</v>
      </c>
      <c r="H270" s="16" t="n">
        <f aca="false">J270*0.6</f>
        <v>50.4144</v>
      </c>
      <c r="I270" s="16" t="n">
        <f aca="false">J270*0.4</f>
        <v>33.6096</v>
      </c>
      <c r="J270" s="16" t="n">
        <f aca="false">ROUND(E270,2)*(ROUND(G270,2))</f>
        <v>84.024</v>
      </c>
    </row>
    <row r="271" customFormat="false" ht="32.8" hidden="false" customHeight="false" outlineLevel="0" collapsed="false">
      <c r="A271" s="21" t="n">
        <v>96619</v>
      </c>
      <c r="B271" s="13" t="s">
        <v>463</v>
      </c>
      <c r="C271" s="22" t="s">
        <v>50</v>
      </c>
      <c r="D271" s="14" t="s">
        <v>23</v>
      </c>
      <c r="E271" s="14" t="n">
        <f aca="false">(0.6*0.6*3)</f>
        <v>1.08</v>
      </c>
      <c r="F271" s="26" t="n">
        <v>25.07</v>
      </c>
      <c r="G271" s="16" t="n">
        <f aca="false">F271*1.25</f>
        <v>31.3375</v>
      </c>
      <c r="H271" s="16" t="n">
        <f aca="false">J271*0.6</f>
        <v>20.30832</v>
      </c>
      <c r="I271" s="16" t="n">
        <f aca="false">J271*0.4</f>
        <v>13.53888</v>
      </c>
      <c r="J271" s="16" t="n">
        <f aca="false">ROUND(E271,2)*(ROUND(G271,2))</f>
        <v>33.8472</v>
      </c>
    </row>
    <row r="272" customFormat="false" ht="22.35" hidden="false" customHeight="false" outlineLevel="0" collapsed="false">
      <c r="A272" s="21" t="n">
        <v>96546</v>
      </c>
      <c r="B272" s="13" t="s">
        <v>464</v>
      </c>
      <c r="C272" s="22" t="s">
        <v>465</v>
      </c>
      <c r="D272" s="14" t="s">
        <v>53</v>
      </c>
      <c r="E272" s="14" t="n">
        <f aca="false">(2.06*10*0.63*3)</f>
        <v>38.934</v>
      </c>
      <c r="F272" s="26" t="n">
        <v>16.79</v>
      </c>
      <c r="G272" s="16" t="n">
        <f aca="false">F272*1.25</f>
        <v>20.9875</v>
      </c>
      <c r="H272" s="16" t="n">
        <f aca="false">J272*0.6</f>
        <v>490.28442</v>
      </c>
      <c r="I272" s="16" t="n">
        <f aca="false">J272*0.4</f>
        <v>326.85628</v>
      </c>
      <c r="J272" s="16" t="n">
        <f aca="false">ROUND(E272,2)*(ROUND(G272,2))</f>
        <v>817.1407</v>
      </c>
    </row>
    <row r="273" customFormat="false" ht="32.8" hidden="false" customHeight="false" outlineLevel="0" collapsed="false">
      <c r="A273" s="21" t="n">
        <v>96555</v>
      </c>
      <c r="B273" s="13" t="s">
        <v>466</v>
      </c>
      <c r="C273" s="22" t="s">
        <v>467</v>
      </c>
      <c r="D273" s="14" t="s">
        <v>41</v>
      </c>
      <c r="E273" s="14" t="n">
        <f aca="false">(0.6*0.6*0.5*3)</f>
        <v>0.54</v>
      </c>
      <c r="F273" s="26" t="n">
        <v>562.83</v>
      </c>
      <c r="G273" s="16" t="n">
        <f aca="false">F273*1.25</f>
        <v>703.5375</v>
      </c>
      <c r="H273" s="16" t="n">
        <f aca="false">J273*0.6</f>
        <v>227.94696</v>
      </c>
      <c r="I273" s="16" t="n">
        <f aca="false">J273*0.4</f>
        <v>151.96464</v>
      </c>
      <c r="J273" s="16" t="n">
        <f aca="false">ROUND(E273,2)*(ROUND(G273,2))</f>
        <v>379.9116</v>
      </c>
    </row>
    <row r="274" customFormat="false" ht="43.25" hidden="false" customHeight="false" outlineLevel="0" collapsed="false">
      <c r="A274" s="24" t="n">
        <v>92778</v>
      </c>
      <c r="B274" s="13" t="s">
        <v>468</v>
      </c>
      <c r="C274" s="25" t="s">
        <v>70</v>
      </c>
      <c r="D274" s="15" t="s">
        <v>53</v>
      </c>
      <c r="E274" s="15" t="n">
        <f aca="false">(4*3.95*0.63)*3</f>
        <v>29.862</v>
      </c>
      <c r="F274" s="26" t="n">
        <v>16.72</v>
      </c>
      <c r="G274" s="16" t="n">
        <f aca="false">F274*1.25</f>
        <v>20.9</v>
      </c>
      <c r="H274" s="26" t="n">
        <f aca="false">J274*0.6</f>
        <v>374.4444</v>
      </c>
      <c r="I274" s="26" t="n">
        <f aca="false">J274*0.4</f>
        <v>249.6296</v>
      </c>
      <c r="J274" s="16" t="n">
        <f aca="false">ROUND(E274,2)*(ROUND(G274,2))</f>
        <v>624.074</v>
      </c>
    </row>
    <row r="275" customFormat="false" ht="43.25" hidden="false" customHeight="false" outlineLevel="0" collapsed="false">
      <c r="A275" s="24" t="n">
        <v>92775</v>
      </c>
      <c r="B275" s="13" t="s">
        <v>469</v>
      </c>
      <c r="C275" s="25" t="s">
        <v>72</v>
      </c>
      <c r="D275" s="15" t="s">
        <v>53</v>
      </c>
      <c r="E275" s="15" t="n">
        <f aca="false">((11.85/0.15)*0.89*0.16)</f>
        <v>11.2496</v>
      </c>
      <c r="F275" s="26" t="n">
        <v>20.25</v>
      </c>
      <c r="G275" s="16" t="n">
        <f aca="false">F275*1.25</f>
        <v>25.3125</v>
      </c>
      <c r="H275" s="26" t="n">
        <f aca="false">J275*0.6</f>
        <v>170.8425</v>
      </c>
      <c r="I275" s="26" t="n">
        <f aca="false">J275*0.4</f>
        <v>113.895</v>
      </c>
      <c r="J275" s="16" t="n">
        <f aca="false">ROUND(E275,2)*(ROUND(G275,2))</f>
        <v>284.7375</v>
      </c>
    </row>
    <row r="276" customFormat="false" ht="32.8" hidden="false" customHeight="false" outlineLevel="0" collapsed="false">
      <c r="A276" s="24" t="n">
        <v>92263</v>
      </c>
      <c r="B276" s="13" t="s">
        <v>470</v>
      </c>
      <c r="C276" s="13" t="s">
        <v>74</v>
      </c>
      <c r="D276" s="15" t="s">
        <v>23</v>
      </c>
      <c r="E276" s="15" t="n">
        <f aca="false">(0.15*3.95*3)+(0.33*3.95*6)</f>
        <v>9.5985</v>
      </c>
      <c r="F276" s="26" t="n">
        <v>132.15</v>
      </c>
      <c r="G276" s="16" t="n">
        <f aca="false">F276*1.25</f>
        <v>165.1875</v>
      </c>
      <c r="H276" s="26" t="n">
        <f aca="false">J276*0.6</f>
        <v>951.4944</v>
      </c>
      <c r="I276" s="26" t="n">
        <f aca="false">J276*0.4</f>
        <v>634.3296</v>
      </c>
      <c r="J276" s="16" t="n">
        <f aca="false">ROUND(E276,2)*(ROUND(G276,2))</f>
        <v>1585.824</v>
      </c>
    </row>
    <row r="277" customFormat="false" ht="43.25" hidden="false" customHeight="false" outlineLevel="0" collapsed="false">
      <c r="A277" s="24" t="n">
        <v>92718</v>
      </c>
      <c r="B277" s="13" t="s">
        <v>471</v>
      </c>
      <c r="C277" s="13" t="s">
        <v>103</v>
      </c>
      <c r="D277" s="15" t="s">
        <v>41</v>
      </c>
      <c r="E277" s="15" t="n">
        <f aca="false">0.15*0.33*3.95*3</f>
        <v>0.586575</v>
      </c>
      <c r="F277" s="26" t="n">
        <v>588.54</v>
      </c>
      <c r="G277" s="16" t="n">
        <f aca="false">F277*1.25</f>
        <v>735.675</v>
      </c>
      <c r="H277" s="26" t="n">
        <f aca="false">J277*0.6</f>
        <v>260.43072</v>
      </c>
      <c r="I277" s="26" t="n">
        <f aca="false">J277*0.4</f>
        <v>173.62048</v>
      </c>
      <c r="J277" s="16" t="n">
        <f aca="false">ROUND(E277,2)*(ROUND(G277,2))</f>
        <v>434.0512</v>
      </c>
    </row>
    <row r="278" customFormat="false" ht="48.75" hidden="false" customHeight="true" outlineLevel="0" collapsed="false">
      <c r="A278" s="24" t="n">
        <v>92778</v>
      </c>
      <c r="B278" s="24" t="s">
        <v>78</v>
      </c>
      <c r="C278" s="25" t="s">
        <v>79</v>
      </c>
      <c r="D278" s="15" t="s">
        <v>53</v>
      </c>
      <c r="E278" s="15" t="n">
        <f aca="false">4*3*0.63*2</f>
        <v>15.12</v>
      </c>
      <c r="F278" s="26" t="n">
        <v>16.72</v>
      </c>
      <c r="G278" s="16" t="n">
        <f aca="false">F278*1.25</f>
        <v>20.9</v>
      </c>
      <c r="H278" s="26" t="n">
        <f aca="false">J278*0.6</f>
        <v>189.6048</v>
      </c>
      <c r="I278" s="26" t="n">
        <f aca="false">J278*0.4</f>
        <v>126.4032</v>
      </c>
      <c r="J278" s="16" t="n">
        <f aca="false">ROUND(E278,2)*(ROUND(G278,2))</f>
        <v>316.008</v>
      </c>
    </row>
    <row r="279" customFormat="false" ht="43.25" hidden="false" customHeight="false" outlineLevel="0" collapsed="false">
      <c r="A279" s="24" t="n">
        <v>92775</v>
      </c>
      <c r="B279" s="24" t="s">
        <v>80</v>
      </c>
      <c r="C279" s="25" t="s">
        <v>81</v>
      </c>
      <c r="D279" s="15" t="s">
        <v>53</v>
      </c>
      <c r="E279" s="15" t="n">
        <f aca="false">((6/0.15)*0.63*0.16)</f>
        <v>4.032</v>
      </c>
      <c r="F279" s="26" t="n">
        <v>20.25</v>
      </c>
      <c r="G279" s="16" t="n">
        <f aca="false">F279*1.25</f>
        <v>25.3125</v>
      </c>
      <c r="H279" s="26" t="n">
        <f aca="false">J279*0.6</f>
        <v>61.19958</v>
      </c>
      <c r="I279" s="26" t="n">
        <f aca="false">J279*0.4</f>
        <v>40.79972</v>
      </c>
      <c r="J279" s="16" t="n">
        <f aca="false">ROUND(E279,2)*(ROUND(G279,2))</f>
        <v>101.9993</v>
      </c>
    </row>
    <row r="280" customFormat="false" ht="22.35" hidden="false" customHeight="false" outlineLevel="0" collapsed="false">
      <c r="A280" s="24" t="n">
        <v>92265</v>
      </c>
      <c r="B280" s="24" t="s">
        <v>82</v>
      </c>
      <c r="C280" s="25" t="s">
        <v>83</v>
      </c>
      <c r="D280" s="15" t="s">
        <v>23</v>
      </c>
      <c r="E280" s="15" t="n">
        <f aca="false">(3*0.15*2)+(3*0.2*2*2)</f>
        <v>3.3</v>
      </c>
      <c r="F280" s="26" t="n">
        <v>100.31</v>
      </c>
      <c r="G280" s="16" t="n">
        <f aca="false">F280*1.25</f>
        <v>125.3875</v>
      </c>
      <c r="H280" s="26" t="n">
        <f aca="false">J280*0.6</f>
        <v>248.2722</v>
      </c>
      <c r="I280" s="26" t="n">
        <f aca="false">J280*0.4</f>
        <v>165.5148</v>
      </c>
      <c r="J280" s="16" t="n">
        <f aca="false">ROUND(E280,2)*(ROUND(G280,2))</f>
        <v>413.787</v>
      </c>
    </row>
    <row r="281" customFormat="false" ht="32.8" hidden="false" customHeight="false" outlineLevel="0" collapsed="false">
      <c r="A281" s="24" t="n">
        <v>92723</v>
      </c>
      <c r="B281" s="24" t="s">
        <v>84</v>
      </c>
      <c r="C281" s="25" t="s">
        <v>85</v>
      </c>
      <c r="D281" s="15" t="s">
        <v>41</v>
      </c>
      <c r="E281" s="15" t="n">
        <f aca="false">(3*0.15*0.2*2)</f>
        <v>0.18</v>
      </c>
      <c r="F281" s="26" t="n">
        <v>460.07</v>
      </c>
      <c r="G281" s="16" t="n">
        <f aca="false">F281*1.25</f>
        <v>575.0875</v>
      </c>
      <c r="H281" s="26" t="n">
        <f aca="false">J281*0.6</f>
        <v>62.10972</v>
      </c>
      <c r="I281" s="26" t="n">
        <f aca="false">J281*0.4</f>
        <v>41.40648</v>
      </c>
      <c r="J281" s="16" t="n">
        <f aca="false">ROUND(E281,2)*(ROUND(G281,2))</f>
        <v>103.5162</v>
      </c>
    </row>
    <row r="282" customFormat="false" ht="53.7" hidden="false" customHeight="false" outlineLevel="0" collapsed="false">
      <c r="A282" s="13" t="n">
        <v>87505</v>
      </c>
      <c r="B282" s="21" t="s">
        <v>472</v>
      </c>
      <c r="C282" s="13" t="s">
        <v>64</v>
      </c>
      <c r="D282" s="14" t="s">
        <v>23</v>
      </c>
      <c r="E282" s="15" t="n">
        <f aca="false">(3.01*1.7)+(2.88*1.7)</f>
        <v>10.013</v>
      </c>
      <c r="F282" s="26" t="n">
        <v>69.28</v>
      </c>
      <c r="G282" s="16" t="n">
        <f aca="false">F282*1.25</f>
        <v>86.6</v>
      </c>
      <c r="H282" s="16" t="n">
        <f aca="false">J282*0.6</f>
        <v>520.1196</v>
      </c>
      <c r="I282" s="16" t="n">
        <f aca="false">J282*0.4</f>
        <v>346.7464</v>
      </c>
      <c r="J282" s="16" t="n">
        <f aca="false">ROUND(E282,2)*(ROUND(G282,2))</f>
        <v>866.866</v>
      </c>
    </row>
    <row r="283" customFormat="false" ht="13.8" hidden="false" customHeight="false" outlineLevel="0" collapsed="false">
      <c r="A283" s="23" t="s">
        <v>473</v>
      </c>
      <c r="B283" s="23"/>
      <c r="C283" s="23"/>
      <c r="D283" s="23"/>
      <c r="E283" s="23"/>
      <c r="F283" s="23"/>
      <c r="G283" s="23"/>
      <c r="H283" s="23"/>
      <c r="I283" s="23"/>
      <c r="J283" s="23"/>
    </row>
    <row r="284" customFormat="false" ht="43.25" hidden="false" customHeight="false" outlineLevel="0" collapsed="false">
      <c r="A284" s="12" t="n">
        <v>87690</v>
      </c>
      <c r="B284" s="21" t="s">
        <v>474</v>
      </c>
      <c r="C284" s="13" t="s">
        <v>396</v>
      </c>
      <c r="D284" s="14" t="s">
        <v>23</v>
      </c>
      <c r="E284" s="15" t="n">
        <v>42.9</v>
      </c>
      <c r="F284" s="26" t="n">
        <v>39.08</v>
      </c>
      <c r="G284" s="16" t="n">
        <f aca="false">F284*1.25</f>
        <v>48.85</v>
      </c>
      <c r="H284" s="16" t="n">
        <f aca="false">J284*0.6</f>
        <v>1257.399</v>
      </c>
      <c r="I284" s="16" t="n">
        <f aca="false">J284*0.4</f>
        <v>838.266</v>
      </c>
      <c r="J284" s="16" t="n">
        <f aca="false">ROUND(E284,2)*(ROUND(G284,2))</f>
        <v>2095.665</v>
      </c>
    </row>
    <row r="285" customFormat="false" ht="22.35" hidden="false" customHeight="false" outlineLevel="0" collapsed="false">
      <c r="A285" s="13" t="n">
        <v>88476</v>
      </c>
      <c r="B285" s="21" t="s">
        <v>475</v>
      </c>
      <c r="C285" s="13" t="s">
        <v>148</v>
      </c>
      <c r="D285" s="14" t="s">
        <v>23</v>
      </c>
      <c r="E285" s="15" t="n">
        <f aca="false">42.9+14.76</f>
        <v>57.66</v>
      </c>
      <c r="F285" s="26" t="n">
        <v>16.59</v>
      </c>
      <c r="G285" s="16" t="n">
        <f aca="false">F285*1.25</f>
        <v>20.7375</v>
      </c>
      <c r="H285" s="16" t="n">
        <f aca="false">J285*0.6</f>
        <v>717.52104</v>
      </c>
      <c r="I285" s="16" t="n">
        <f aca="false">J285*0.4</f>
        <v>478.34736</v>
      </c>
      <c r="J285" s="16" t="n">
        <f aca="false">ROUND(E285,2)*(ROUND(G285,2))</f>
        <v>1195.8684</v>
      </c>
    </row>
    <row r="286" customFormat="false" ht="43.25" hidden="false" customHeight="false" outlineLevel="0" collapsed="false">
      <c r="A286" s="13" t="n">
        <v>87260</v>
      </c>
      <c r="B286" s="21" t="s">
        <v>476</v>
      </c>
      <c r="C286" s="13" t="s">
        <v>150</v>
      </c>
      <c r="D286" s="14" t="s">
        <v>23</v>
      </c>
      <c r="E286" s="15" t="n">
        <f aca="false">E285</f>
        <v>57.66</v>
      </c>
      <c r="F286" s="26" t="n">
        <v>100.37</v>
      </c>
      <c r="G286" s="16" t="n">
        <f aca="false">F286*1.25</f>
        <v>125.4625</v>
      </c>
      <c r="H286" s="16" t="n">
        <f aca="false">J286*0.6</f>
        <v>4340.41416</v>
      </c>
      <c r="I286" s="16" t="n">
        <f aca="false">J286*0.4</f>
        <v>2893.60944</v>
      </c>
      <c r="J286" s="16" t="n">
        <f aca="false">ROUND(E286,2)*(ROUND(G286,2))</f>
        <v>7234.0236</v>
      </c>
    </row>
    <row r="287" customFormat="false" ht="13.8" hidden="false" customHeight="false" outlineLevel="0" collapsed="false">
      <c r="A287" s="23" t="s">
        <v>477</v>
      </c>
      <c r="B287" s="23"/>
      <c r="C287" s="23"/>
      <c r="D287" s="23"/>
      <c r="E287" s="23"/>
      <c r="F287" s="23"/>
      <c r="G287" s="23"/>
      <c r="H287" s="23"/>
      <c r="I287" s="23"/>
      <c r="J287" s="23"/>
    </row>
    <row r="288" customFormat="false" ht="43.25" hidden="false" customHeight="false" outlineLevel="0" collapsed="false">
      <c r="A288" s="13" t="n">
        <v>87879</v>
      </c>
      <c r="B288" s="21" t="s">
        <v>478</v>
      </c>
      <c r="C288" s="13" t="s">
        <v>156</v>
      </c>
      <c r="D288" s="14" t="s">
        <v>23</v>
      </c>
      <c r="E288" s="15" t="n">
        <f aca="false">E276+(E282*2)</f>
        <v>29.6245</v>
      </c>
      <c r="F288" s="26" t="n">
        <v>3.45</v>
      </c>
      <c r="G288" s="16" t="n">
        <f aca="false">F288*1.25</f>
        <v>4.3125</v>
      </c>
      <c r="H288" s="16" t="n">
        <f aca="false">J288*0.6</f>
        <v>76.59732</v>
      </c>
      <c r="I288" s="16" t="n">
        <f aca="false">J288*0.4</f>
        <v>51.06488</v>
      </c>
      <c r="J288" s="16" t="n">
        <f aca="false">ROUND(E288,2)*(ROUND(G288,2))</f>
        <v>127.6622</v>
      </c>
    </row>
    <row r="289" customFormat="false" ht="53.7" hidden="false" customHeight="false" outlineLevel="0" collapsed="false">
      <c r="A289" s="13" t="n">
        <v>87529</v>
      </c>
      <c r="B289" s="21" t="s">
        <v>479</v>
      </c>
      <c r="C289" s="13" t="s">
        <v>158</v>
      </c>
      <c r="D289" s="14" t="s">
        <v>23</v>
      </c>
      <c r="E289" s="15" t="n">
        <f aca="false">E288</f>
        <v>29.6245</v>
      </c>
      <c r="F289" s="26" t="n">
        <v>29.01</v>
      </c>
      <c r="G289" s="16" t="n">
        <f aca="false">F289*1.25</f>
        <v>36.2625</v>
      </c>
      <c r="H289" s="16" t="n">
        <f aca="false">J289*0.6</f>
        <v>644.41272</v>
      </c>
      <c r="I289" s="16" t="n">
        <f aca="false">J289*0.4</f>
        <v>429.60848</v>
      </c>
      <c r="J289" s="16" t="n">
        <f aca="false">ROUND(E289,2)*(ROUND(G289,2))</f>
        <v>1074.0212</v>
      </c>
    </row>
    <row r="290" customFormat="false" ht="22.35" hidden="false" customHeight="false" outlineLevel="0" collapsed="false">
      <c r="A290" s="13" t="s">
        <v>159</v>
      </c>
      <c r="B290" s="21" t="s">
        <v>480</v>
      </c>
      <c r="C290" s="13" t="s">
        <v>161</v>
      </c>
      <c r="D290" s="14" t="s">
        <v>23</v>
      </c>
      <c r="E290" s="15" t="n">
        <f aca="false">E289</f>
        <v>29.6245</v>
      </c>
      <c r="F290" s="26" t="n">
        <v>4.48</v>
      </c>
      <c r="G290" s="16" t="n">
        <f aca="false">F290*1.25</f>
        <v>5.6</v>
      </c>
      <c r="H290" s="16" t="n">
        <f aca="false">J290*0.6</f>
        <v>99.5232</v>
      </c>
      <c r="I290" s="16" t="n">
        <f aca="false">J290*0.4</f>
        <v>66.3488</v>
      </c>
      <c r="J290" s="16" t="n">
        <f aca="false">ROUND(E290,2)*(ROUND(G290,2))</f>
        <v>165.872</v>
      </c>
    </row>
    <row r="291" customFormat="false" ht="53.7" hidden="false" customHeight="false" outlineLevel="0" collapsed="false">
      <c r="A291" s="13" t="s">
        <v>159</v>
      </c>
      <c r="B291" s="21" t="s">
        <v>481</v>
      </c>
      <c r="C291" s="13" t="s">
        <v>482</v>
      </c>
      <c r="D291" s="14" t="s">
        <v>27</v>
      </c>
      <c r="E291" s="15" t="n">
        <v>4</v>
      </c>
      <c r="F291" s="26" t="n">
        <v>1260</v>
      </c>
      <c r="G291" s="16" t="n">
        <f aca="false">F291*1.25</f>
        <v>1575</v>
      </c>
      <c r="H291" s="16" t="n">
        <f aca="false">J291*0.6</f>
        <v>3780</v>
      </c>
      <c r="I291" s="16" t="n">
        <f aca="false">J291*0.4</f>
        <v>2520</v>
      </c>
      <c r="J291" s="16" t="n">
        <f aca="false">ROUND(E291,2)*(ROUND(G291,2))</f>
        <v>6300</v>
      </c>
    </row>
    <row r="292" customFormat="false" ht="32.8" hidden="false" customHeight="false" outlineLevel="0" collapsed="false">
      <c r="A292" s="13" t="n">
        <v>100659</v>
      </c>
      <c r="B292" s="21" t="s">
        <v>483</v>
      </c>
      <c r="C292" s="13" t="s">
        <v>187</v>
      </c>
      <c r="D292" s="14" t="s">
        <v>38</v>
      </c>
      <c r="E292" s="15" t="n">
        <f aca="false">((0.9+0.9+2.1+2.1)*2*2)*2</f>
        <v>48</v>
      </c>
      <c r="F292" s="26" t="n">
        <v>12.16</v>
      </c>
      <c r="G292" s="16" t="n">
        <f aca="false">F292*1.25</f>
        <v>15.2</v>
      </c>
      <c r="H292" s="16" t="n">
        <f aca="false">J292*0.6</f>
        <v>437.76</v>
      </c>
      <c r="I292" s="16" t="n">
        <f aca="false">J292*0.4</f>
        <v>291.84</v>
      </c>
      <c r="J292" s="16" t="n">
        <f aca="false">ROUND(E292,2)*(ROUND(G292,2))</f>
        <v>729.6</v>
      </c>
    </row>
    <row r="293" customFormat="false" ht="22.35" hidden="false" customHeight="false" outlineLevel="0" collapsed="false">
      <c r="A293" s="13" t="n">
        <v>39624</v>
      </c>
      <c r="B293" s="21" t="s">
        <v>190</v>
      </c>
      <c r="C293" s="13" t="s">
        <v>191</v>
      </c>
      <c r="D293" s="14" t="s">
        <v>27</v>
      </c>
      <c r="E293" s="15" t="n">
        <v>2</v>
      </c>
      <c r="F293" s="26" t="n">
        <f aca="false">1282.37+(1282.37*0.4)</f>
        <v>1795.318</v>
      </c>
      <c r="G293" s="16" t="n">
        <f aca="false">F293*1.25</f>
        <v>2244.1475</v>
      </c>
      <c r="H293" s="16" t="n">
        <f aca="false">J293*0.6</f>
        <v>2692.98</v>
      </c>
      <c r="I293" s="16" t="n">
        <f aca="false">J293*0.4</f>
        <v>1795.32</v>
      </c>
      <c r="J293" s="16" t="n">
        <f aca="false">ROUND(E293,2)*(ROUND(G293,2))</f>
        <v>4488.3</v>
      </c>
    </row>
    <row r="294" customFormat="false" ht="43.25" hidden="false" customHeight="false" outlineLevel="0" collapsed="false">
      <c r="A294" s="13" t="n">
        <v>94569</v>
      </c>
      <c r="B294" s="21" t="s">
        <v>484</v>
      </c>
      <c r="C294" s="13" t="s">
        <v>133</v>
      </c>
      <c r="D294" s="14" t="s">
        <v>23</v>
      </c>
      <c r="E294" s="15" t="n">
        <f aca="false">(0.6*1.05)*2</f>
        <v>1.26</v>
      </c>
      <c r="F294" s="26" t="n">
        <v>535.56</v>
      </c>
      <c r="G294" s="16" t="n">
        <f aca="false">F294*1.25</f>
        <v>669.45</v>
      </c>
      <c r="H294" s="16" t="n">
        <f aca="false">J294*0.6</f>
        <v>506.1042</v>
      </c>
      <c r="I294" s="16" t="n">
        <f aca="false">J294*0.4</f>
        <v>337.4028</v>
      </c>
      <c r="J294" s="16" t="n">
        <f aca="false">ROUND(E294,2)*(ROUND(G294,2))</f>
        <v>843.507</v>
      </c>
    </row>
    <row r="295" customFormat="false" ht="43.25" hidden="false" customHeight="false" outlineLevel="0" collapsed="false">
      <c r="A295" s="13" t="n">
        <v>100674</v>
      </c>
      <c r="B295" s="21" t="s">
        <v>485</v>
      </c>
      <c r="C295" s="13" t="s">
        <v>203</v>
      </c>
      <c r="D295" s="14" t="s">
        <v>23</v>
      </c>
      <c r="E295" s="15" t="n">
        <f aca="false">(0.6*0.48*2)+(0.6*1.05*2)+(1.8*0.48)</f>
        <v>2.7</v>
      </c>
      <c r="F295" s="26" t="n">
        <v>357.35</v>
      </c>
      <c r="G295" s="16" t="n">
        <f aca="false">F295*1.25</f>
        <v>446.6875</v>
      </c>
      <c r="H295" s="16" t="n">
        <f aca="false">J295*0.6</f>
        <v>723.6378</v>
      </c>
      <c r="I295" s="16" t="n">
        <f aca="false">J295*0.4</f>
        <v>482.4252</v>
      </c>
      <c r="J295" s="16" t="n">
        <f aca="false">ROUND(E295,2)*(ROUND(G295,2))</f>
        <v>1206.063</v>
      </c>
    </row>
    <row r="296" customFormat="false" ht="22.35" hidden="false" customHeight="false" outlineLevel="0" collapsed="false">
      <c r="A296" s="13" t="n">
        <v>99862</v>
      </c>
      <c r="B296" s="21" t="s">
        <v>486</v>
      </c>
      <c r="C296" s="13" t="s">
        <v>197</v>
      </c>
      <c r="D296" s="14" t="s">
        <v>23</v>
      </c>
      <c r="E296" s="15" t="n">
        <f aca="false">E295+E294+(0.9*2.1*2)</f>
        <v>7.74</v>
      </c>
      <c r="F296" s="26" t="n">
        <v>530.39</v>
      </c>
      <c r="G296" s="16" t="n">
        <f aca="false">F296*1.25</f>
        <v>662.9875</v>
      </c>
      <c r="H296" s="16" t="n">
        <f aca="false">J296*0.6</f>
        <v>3078.92556</v>
      </c>
      <c r="I296" s="16" t="n">
        <f aca="false">J296*0.4</f>
        <v>2052.61704</v>
      </c>
      <c r="J296" s="16" t="n">
        <f aca="false">ROUND(E296,2)*(ROUND(G296,2))</f>
        <v>5131.5426</v>
      </c>
    </row>
    <row r="297" customFormat="false" ht="13.8" hidden="false" customHeight="false" outlineLevel="0" collapsed="false">
      <c r="A297" s="13" t="n">
        <v>99803</v>
      </c>
      <c r="B297" s="21" t="s">
        <v>194</v>
      </c>
      <c r="C297" s="13" t="s">
        <v>487</v>
      </c>
      <c r="D297" s="14" t="s">
        <v>23</v>
      </c>
      <c r="E297" s="15" t="n">
        <f aca="false">(42.9+14.76)+((21.45+4.45+2.05+7.2+2.05+0.75+13.75)*2.85)</f>
        <v>205.005</v>
      </c>
      <c r="F297" s="26" t="n">
        <v>1.72</v>
      </c>
      <c r="G297" s="16" t="n">
        <f aca="false">F297*1.25</f>
        <v>2.15</v>
      </c>
      <c r="H297" s="16" t="n">
        <f aca="false">J297*0.6</f>
        <v>264.4629</v>
      </c>
      <c r="I297" s="16" t="n">
        <f aca="false">J297*0.4</f>
        <v>176.3086</v>
      </c>
      <c r="J297" s="16" t="n">
        <f aca="false">ROUND(E297,2)*(ROUND(G297,2))</f>
        <v>440.7715</v>
      </c>
    </row>
    <row r="298" customFormat="false" ht="22.35" hidden="false" customHeight="false" outlineLevel="0" collapsed="false">
      <c r="A298" s="13" t="n">
        <v>102193</v>
      </c>
      <c r="B298" s="21" t="s">
        <v>488</v>
      </c>
      <c r="C298" s="9" t="s">
        <v>489</v>
      </c>
      <c r="D298" s="21" t="s">
        <v>23</v>
      </c>
      <c r="E298" s="29" t="n">
        <f aca="false">E297</f>
        <v>205.005</v>
      </c>
      <c r="F298" s="26" t="n">
        <v>1.52</v>
      </c>
      <c r="G298" s="16" t="n">
        <f aca="false">F298*1.25</f>
        <v>1.9</v>
      </c>
      <c r="H298" s="16" t="n">
        <f aca="false">J298*0.6</f>
        <v>233.7114</v>
      </c>
      <c r="I298" s="16" t="n">
        <f aca="false">J298*0.4</f>
        <v>155.8076</v>
      </c>
      <c r="J298" s="16" t="n">
        <f aca="false">ROUND(E298,2)*(ROUND(G298,2))</f>
        <v>389.519</v>
      </c>
    </row>
    <row r="299" customFormat="false" ht="22.35" hidden="false" customHeight="false" outlineLevel="0" collapsed="false">
      <c r="A299" s="12" t="n">
        <v>88484</v>
      </c>
      <c r="B299" s="21" t="s">
        <v>490</v>
      </c>
      <c r="C299" s="13" t="s">
        <v>221</v>
      </c>
      <c r="D299" s="15" t="s">
        <v>23</v>
      </c>
      <c r="E299" s="15" t="n">
        <f aca="false">(42.9+14.76)</f>
        <v>57.66</v>
      </c>
      <c r="F299" s="26" t="n">
        <v>2.44</v>
      </c>
      <c r="G299" s="16" t="n">
        <f aca="false">F299*1.25</f>
        <v>3.05</v>
      </c>
      <c r="H299" s="16" t="n">
        <f aca="false">J299*0.6</f>
        <v>105.5178</v>
      </c>
      <c r="I299" s="16" t="n">
        <f aca="false">J299*0.4</f>
        <v>70.3452</v>
      </c>
      <c r="J299" s="16" t="n">
        <f aca="false">ROUND(E299,2)*(ROUND(G299,2))</f>
        <v>175.863</v>
      </c>
    </row>
    <row r="300" customFormat="false" ht="22.35" hidden="false" customHeight="false" outlineLevel="0" collapsed="false">
      <c r="A300" s="12" t="n">
        <v>88488</v>
      </c>
      <c r="B300" s="21" t="s">
        <v>491</v>
      </c>
      <c r="C300" s="13" t="s">
        <v>223</v>
      </c>
      <c r="D300" s="15" t="s">
        <v>23</v>
      </c>
      <c r="E300" s="15" t="n">
        <f aca="false">(42.9+14.76)</f>
        <v>57.66</v>
      </c>
      <c r="F300" s="26" t="n">
        <v>15.49</v>
      </c>
      <c r="G300" s="16" t="n">
        <f aca="false">F300*1.25</f>
        <v>19.3625</v>
      </c>
      <c r="H300" s="16" t="n">
        <f aca="false">J300*0.6</f>
        <v>669.77856</v>
      </c>
      <c r="I300" s="16" t="n">
        <f aca="false">J300*0.4</f>
        <v>446.51904</v>
      </c>
      <c r="J300" s="16" t="n">
        <f aca="false">ROUND(E300,2)*(ROUND(G300,2))</f>
        <v>1116.2976</v>
      </c>
    </row>
    <row r="301" customFormat="false" ht="13.8" hidden="false" customHeight="false" outlineLevel="0" collapsed="false">
      <c r="A301" s="12" t="n">
        <v>100718</v>
      </c>
      <c r="B301" s="21" t="s">
        <v>492</v>
      </c>
      <c r="C301" s="13" t="s">
        <v>215</v>
      </c>
      <c r="D301" s="15" t="s">
        <v>38</v>
      </c>
      <c r="E301" s="15" t="n">
        <v>30</v>
      </c>
      <c r="F301" s="26" t="n">
        <v>1.07</v>
      </c>
      <c r="G301" s="16" t="n">
        <f aca="false">F301*1.25</f>
        <v>1.3375</v>
      </c>
      <c r="H301" s="16" t="n">
        <f aca="false">J301*0.6</f>
        <v>24.12</v>
      </c>
      <c r="I301" s="16" t="n">
        <f aca="false">J301*0.4</f>
        <v>16.08</v>
      </c>
      <c r="J301" s="16" t="n">
        <f aca="false">ROUND(E301,2)*(ROUND(G301,2))</f>
        <v>40.2</v>
      </c>
    </row>
    <row r="302" customFormat="false" ht="22.35" hidden="false" customHeight="false" outlineLevel="0" collapsed="false">
      <c r="A302" s="12" t="n">
        <v>88485</v>
      </c>
      <c r="B302" s="21" t="s">
        <v>493</v>
      </c>
      <c r="C302" s="13" t="s">
        <v>217</v>
      </c>
      <c r="D302" s="15" t="s">
        <v>23</v>
      </c>
      <c r="E302" s="15" t="n">
        <f aca="false">((21.45+4.45+2.05+7.2+2.05+0.75+13.75)*2.85)</f>
        <v>147.345</v>
      </c>
      <c r="F302" s="26" t="n">
        <v>2.08</v>
      </c>
      <c r="G302" s="16" t="n">
        <f aca="false">F302*1.25</f>
        <v>2.6</v>
      </c>
      <c r="H302" s="16" t="n">
        <f aca="false">J302*0.6</f>
        <v>229.866</v>
      </c>
      <c r="I302" s="16" t="n">
        <f aca="false">J302*0.4</f>
        <v>153.244</v>
      </c>
      <c r="J302" s="16" t="n">
        <f aca="false">ROUND(E302,2)*(ROUND(G302,2))</f>
        <v>383.11</v>
      </c>
    </row>
    <row r="303" customFormat="false" ht="22.35" hidden="false" customHeight="false" outlineLevel="0" collapsed="false">
      <c r="A303" s="12" t="n">
        <v>88489</v>
      </c>
      <c r="B303" s="21" t="s">
        <v>494</v>
      </c>
      <c r="C303" s="13" t="s">
        <v>219</v>
      </c>
      <c r="D303" s="15" t="s">
        <v>23</v>
      </c>
      <c r="E303" s="15" t="n">
        <f aca="false">E302</f>
        <v>147.345</v>
      </c>
      <c r="F303" s="26" t="n">
        <v>13.85</v>
      </c>
      <c r="G303" s="16" t="n">
        <f aca="false">F303*1.25</f>
        <v>17.3125</v>
      </c>
      <c r="H303" s="16" t="n">
        <f aca="false">J303*0.6</f>
        <v>1530.3771</v>
      </c>
      <c r="I303" s="16" t="n">
        <f aca="false">J303*0.4</f>
        <v>1020.2514</v>
      </c>
      <c r="J303" s="16" t="n">
        <f aca="false">ROUND(E303,2)*(ROUND(G303,2))</f>
        <v>2550.6285</v>
      </c>
    </row>
    <row r="304" customFormat="false" ht="13.9" hidden="false" customHeight="true" outlineLevel="0" collapsed="false">
      <c r="A304" s="18"/>
      <c r="B304" s="18"/>
      <c r="C304" s="18"/>
      <c r="D304" s="18"/>
      <c r="E304" s="18"/>
      <c r="F304" s="18"/>
      <c r="G304" s="18"/>
      <c r="H304" s="18"/>
      <c r="I304" s="19" t="s">
        <v>32</v>
      </c>
      <c r="J304" s="20" t="n">
        <f aca="false">SUM(J266:J303)</f>
        <v>43196.2121</v>
      </c>
      <c r="K304" s="17"/>
    </row>
    <row r="305" customFormat="false" ht="13.9" hidden="false" customHeight="true" outlineLevel="0" collapsed="false">
      <c r="A305" s="11" t="s">
        <v>495</v>
      </c>
      <c r="B305" s="11"/>
      <c r="C305" s="11"/>
      <c r="D305" s="11"/>
      <c r="E305" s="11"/>
      <c r="F305" s="11"/>
      <c r="G305" s="11"/>
      <c r="H305" s="11"/>
      <c r="I305" s="11"/>
      <c r="J305" s="11"/>
      <c r="K305" s="17"/>
    </row>
    <row r="306" customFormat="false" ht="13.8" hidden="false" customHeight="false" outlineLevel="0" collapsed="false">
      <c r="A306" s="23" t="s">
        <v>496</v>
      </c>
      <c r="B306" s="23"/>
      <c r="C306" s="23"/>
      <c r="D306" s="23"/>
      <c r="E306" s="23"/>
      <c r="F306" s="23"/>
      <c r="G306" s="23"/>
      <c r="H306" s="23"/>
      <c r="I306" s="23"/>
      <c r="J306" s="23"/>
    </row>
    <row r="307" customFormat="false" ht="22.35" hidden="false" customHeight="false" outlineLevel="0" collapsed="false">
      <c r="A307" s="12" t="n">
        <v>97645</v>
      </c>
      <c r="B307" s="21" t="s">
        <v>497</v>
      </c>
      <c r="C307" s="13" t="s">
        <v>498</v>
      </c>
      <c r="D307" s="14" t="s">
        <v>23</v>
      </c>
      <c r="E307" s="15" t="n">
        <f aca="false">(2*0.6*6)+(2*1.5*6)</f>
        <v>25.2</v>
      </c>
      <c r="F307" s="26" t="n">
        <v>28.58</v>
      </c>
      <c r="G307" s="16" t="n">
        <f aca="false">F307*1.25</f>
        <v>35.725</v>
      </c>
      <c r="H307" s="16" t="n">
        <f aca="false">J307*0.6</f>
        <v>540.2376</v>
      </c>
      <c r="I307" s="16" t="n">
        <f aca="false">J307*0.4</f>
        <v>360.1584</v>
      </c>
      <c r="J307" s="16" t="n">
        <f aca="false">ROUND(E307,2)*(ROUND(G307,2))</f>
        <v>900.396</v>
      </c>
    </row>
    <row r="308" customFormat="false" ht="22.35" hidden="false" customHeight="false" outlineLevel="0" collapsed="false">
      <c r="A308" s="12" t="n">
        <v>97644</v>
      </c>
      <c r="B308" s="21" t="s">
        <v>499</v>
      </c>
      <c r="C308" s="13" t="s">
        <v>500</v>
      </c>
      <c r="D308" s="14" t="s">
        <v>23</v>
      </c>
      <c r="E308" s="15" t="n">
        <f aca="false">0.9*2.1*3</f>
        <v>5.67</v>
      </c>
      <c r="F308" s="26" t="n">
        <v>7.41</v>
      </c>
      <c r="G308" s="16" t="n">
        <f aca="false">F308*1.25</f>
        <v>9.2625</v>
      </c>
      <c r="H308" s="16" t="n">
        <f aca="false">J308*0.6</f>
        <v>31.50252</v>
      </c>
      <c r="I308" s="16" t="n">
        <f aca="false">J308*0.4</f>
        <v>21.00168</v>
      </c>
      <c r="J308" s="16" t="n">
        <f aca="false">ROUND(E308,2)*(ROUND(G308,2))</f>
        <v>52.5042</v>
      </c>
    </row>
    <row r="309" customFormat="false" ht="13.8" hidden="false" customHeight="false" outlineLevel="0" collapsed="false">
      <c r="A309" s="23" t="s">
        <v>501</v>
      </c>
      <c r="B309" s="23"/>
      <c r="C309" s="23"/>
      <c r="D309" s="23"/>
      <c r="E309" s="23"/>
      <c r="F309" s="23"/>
      <c r="G309" s="23"/>
      <c r="H309" s="23"/>
      <c r="I309" s="23"/>
      <c r="J309" s="23"/>
    </row>
    <row r="310" customFormat="false" ht="43.25" hidden="false" customHeight="false" outlineLevel="0" collapsed="false">
      <c r="A310" s="13" t="n">
        <v>94569</v>
      </c>
      <c r="B310" s="21" t="s">
        <v>502</v>
      </c>
      <c r="C310" s="13" t="s">
        <v>133</v>
      </c>
      <c r="D310" s="14" t="s">
        <v>23</v>
      </c>
      <c r="E310" s="15" t="n">
        <f aca="false">(2*0.6*6)+(2*1.02*6)</f>
        <v>19.44</v>
      </c>
      <c r="F310" s="26" t="n">
        <v>535.56</v>
      </c>
      <c r="G310" s="16" t="n">
        <f aca="false">F310*1.25</f>
        <v>669.45</v>
      </c>
      <c r="H310" s="16" t="n">
        <f aca="false">J310*0.6</f>
        <v>7808.4648</v>
      </c>
      <c r="I310" s="16" t="n">
        <f aca="false">J310*0.4</f>
        <v>5205.6432</v>
      </c>
      <c r="J310" s="16" t="n">
        <f aca="false">ROUND(E310,2)*(ROUND(G310,2))</f>
        <v>13014.108</v>
      </c>
    </row>
    <row r="311" customFormat="false" ht="43.25" hidden="false" customHeight="false" outlineLevel="0" collapsed="false">
      <c r="A311" s="13" t="n">
        <v>100674</v>
      </c>
      <c r="B311" s="21" t="s">
        <v>503</v>
      </c>
      <c r="C311" s="13" t="s">
        <v>203</v>
      </c>
      <c r="D311" s="14" t="s">
        <v>23</v>
      </c>
      <c r="E311" s="15" t="n">
        <f aca="false">2*0.48*6</f>
        <v>5.76</v>
      </c>
      <c r="F311" s="26" t="n">
        <v>357.35</v>
      </c>
      <c r="G311" s="16" t="n">
        <f aca="false">F311*1.25</f>
        <v>446.6875</v>
      </c>
      <c r="H311" s="16" t="n">
        <f aca="false">J311*0.6</f>
        <v>1543.76064</v>
      </c>
      <c r="I311" s="16" t="n">
        <f aca="false">J311*0.4</f>
        <v>1029.17376</v>
      </c>
      <c r="J311" s="16" t="n">
        <f aca="false">ROUND(E311,2)*(ROUND(G311,2))</f>
        <v>2572.9344</v>
      </c>
    </row>
    <row r="312" customFormat="false" ht="32.8" hidden="false" customHeight="false" outlineLevel="0" collapsed="false">
      <c r="A312" s="13" t="n">
        <v>100659</v>
      </c>
      <c r="B312" s="21" t="s">
        <v>504</v>
      </c>
      <c r="C312" s="13" t="s">
        <v>187</v>
      </c>
      <c r="D312" s="14" t="s">
        <v>38</v>
      </c>
      <c r="E312" s="15" t="n">
        <f aca="false">1.5*6</f>
        <v>9</v>
      </c>
      <c r="F312" s="26" t="n">
        <v>12.16</v>
      </c>
      <c r="G312" s="16" t="n">
        <f aca="false">F312*1.25</f>
        <v>15.2</v>
      </c>
      <c r="H312" s="16" t="n">
        <f aca="false">J312*0.6</f>
        <v>82.08</v>
      </c>
      <c r="I312" s="16" t="n">
        <f aca="false">J312*0.4</f>
        <v>54.72</v>
      </c>
      <c r="J312" s="16" t="n">
        <f aca="false">ROUND(E312,2)*(ROUND(G312,2))</f>
        <v>136.8</v>
      </c>
    </row>
    <row r="313" customFormat="false" ht="53.7" hidden="false" customHeight="false" outlineLevel="0" collapsed="false">
      <c r="A313" s="13" t="n">
        <v>90791</v>
      </c>
      <c r="B313" s="21" t="s">
        <v>505</v>
      </c>
      <c r="C313" s="13" t="s">
        <v>506</v>
      </c>
      <c r="D313" s="14" t="s">
        <v>27</v>
      </c>
      <c r="E313" s="15" t="n">
        <v>3</v>
      </c>
      <c r="F313" s="26" t="n">
        <v>903</v>
      </c>
      <c r="G313" s="16" t="n">
        <f aca="false">F313*1.25</f>
        <v>1128.75</v>
      </c>
      <c r="H313" s="16" t="n">
        <f aca="false">J313*0.6</f>
        <v>2031.75</v>
      </c>
      <c r="I313" s="16" t="n">
        <f aca="false">J313*0.4</f>
        <v>1354.5</v>
      </c>
      <c r="J313" s="16" t="n">
        <f aca="false">ROUND(E313,2)*(ROUND(G313,2))</f>
        <v>3386.25</v>
      </c>
    </row>
    <row r="314" customFormat="false" ht="22.35" hidden="false" customHeight="false" outlineLevel="0" collapsed="false">
      <c r="A314" s="13" t="n">
        <v>99862</v>
      </c>
      <c r="B314" s="21" t="s">
        <v>507</v>
      </c>
      <c r="C314" s="13" t="s">
        <v>508</v>
      </c>
      <c r="D314" s="14" t="s">
        <v>23</v>
      </c>
      <c r="E314" s="15" t="n">
        <f aca="false">(E310+E311)</f>
        <v>25.2</v>
      </c>
      <c r="F314" s="26" t="n">
        <v>530.39</v>
      </c>
      <c r="G314" s="16" t="n">
        <f aca="false">F314*1.25</f>
        <v>662.9875</v>
      </c>
      <c r="H314" s="16" t="n">
        <f aca="false">J314*0.6</f>
        <v>10024.4088</v>
      </c>
      <c r="I314" s="16" t="n">
        <f aca="false">J314*0.4</f>
        <v>6682.9392</v>
      </c>
      <c r="J314" s="16" t="n">
        <f aca="false">ROUND(E314,2)*(ROUND(G314,2))</f>
        <v>16707.348</v>
      </c>
    </row>
    <row r="315" customFormat="false" ht="13.8" hidden="false" customHeight="false" outlineLevel="0" collapsed="false">
      <c r="A315" s="13" t="n">
        <v>99803</v>
      </c>
      <c r="B315" s="21" t="s">
        <v>509</v>
      </c>
      <c r="C315" s="13" t="s">
        <v>510</v>
      </c>
      <c r="D315" s="14" t="s">
        <v>23</v>
      </c>
      <c r="E315" s="15" t="n">
        <f aca="false">E318+E320</f>
        <v>329.46</v>
      </c>
      <c r="F315" s="26" t="n">
        <v>1.72</v>
      </c>
      <c r="G315" s="16" t="n">
        <f aca="false">F315*1.25</f>
        <v>2.15</v>
      </c>
      <c r="H315" s="16" t="n">
        <f aca="false">J315*0.6</f>
        <v>425.0034</v>
      </c>
      <c r="I315" s="16" t="n">
        <f aca="false">J315*0.4</f>
        <v>283.3356</v>
      </c>
      <c r="J315" s="16" t="n">
        <f aca="false">ROUND(E315,2)*(ROUND(G315,2))</f>
        <v>708.339</v>
      </c>
    </row>
    <row r="316" customFormat="false" ht="22.35" hidden="false" customHeight="false" outlineLevel="0" collapsed="false">
      <c r="A316" s="13" t="n">
        <v>102193</v>
      </c>
      <c r="B316" s="21" t="s">
        <v>511</v>
      </c>
      <c r="C316" s="9" t="s">
        <v>489</v>
      </c>
      <c r="D316" s="21" t="s">
        <v>23</v>
      </c>
      <c r="E316" s="29" t="n">
        <f aca="false">E315</f>
        <v>329.46</v>
      </c>
      <c r="F316" s="26" t="n">
        <v>1.52</v>
      </c>
      <c r="G316" s="16" t="n">
        <f aca="false">F316*1.25</f>
        <v>1.9</v>
      </c>
      <c r="H316" s="16" t="n">
        <f aca="false">J316*0.6</f>
        <v>375.5844</v>
      </c>
      <c r="I316" s="16" t="n">
        <f aca="false">J316*0.4</f>
        <v>250.3896</v>
      </c>
      <c r="J316" s="16" t="n">
        <f aca="false">ROUND(E316,2)*(ROUND(G316,2))</f>
        <v>625.974</v>
      </c>
    </row>
    <row r="317" customFormat="false" ht="13.8" hidden="false" customHeight="false" outlineLevel="0" collapsed="false">
      <c r="A317" s="12" t="n">
        <v>100718</v>
      </c>
      <c r="B317" s="21" t="s">
        <v>512</v>
      </c>
      <c r="C317" s="13" t="s">
        <v>215</v>
      </c>
      <c r="D317" s="15" t="s">
        <v>38</v>
      </c>
      <c r="E317" s="15" t="n">
        <v>30</v>
      </c>
      <c r="F317" s="26" t="n">
        <v>1.07</v>
      </c>
      <c r="G317" s="16" t="n">
        <f aca="false">F317*1.25</f>
        <v>1.3375</v>
      </c>
      <c r="H317" s="16" t="n">
        <f aca="false">J317*0.6</f>
        <v>24.12</v>
      </c>
      <c r="I317" s="16" t="n">
        <f aca="false">J317*0.4</f>
        <v>16.08</v>
      </c>
      <c r="J317" s="16" t="n">
        <f aca="false">ROUND(E317,2)*(ROUND(G317,2))</f>
        <v>40.2</v>
      </c>
    </row>
    <row r="318" customFormat="false" ht="22.35" hidden="false" customHeight="false" outlineLevel="0" collapsed="false">
      <c r="A318" s="12" t="n">
        <v>88485</v>
      </c>
      <c r="B318" s="21" t="s">
        <v>513</v>
      </c>
      <c r="C318" s="13" t="s">
        <v>217</v>
      </c>
      <c r="D318" s="15" t="s">
        <v>23</v>
      </c>
      <c r="E318" s="15" t="n">
        <f aca="false">(6.95+5.55+6.95+5.55)*2.85*3</f>
        <v>213.75</v>
      </c>
      <c r="F318" s="26" t="n">
        <v>2.08</v>
      </c>
      <c r="G318" s="16" t="n">
        <f aca="false">F318*1.25</f>
        <v>2.6</v>
      </c>
      <c r="H318" s="16" t="n">
        <f aca="false">J318*0.6</f>
        <v>333.45</v>
      </c>
      <c r="I318" s="16" t="n">
        <f aca="false">J318*0.4</f>
        <v>222.3</v>
      </c>
      <c r="J318" s="16" t="n">
        <f aca="false">ROUND(E318,2)*(ROUND(G318,2))</f>
        <v>555.75</v>
      </c>
    </row>
    <row r="319" customFormat="false" ht="22.35" hidden="false" customHeight="false" outlineLevel="0" collapsed="false">
      <c r="A319" s="12" t="n">
        <v>88489</v>
      </c>
      <c r="B319" s="21" t="s">
        <v>514</v>
      </c>
      <c r="C319" s="13" t="s">
        <v>219</v>
      </c>
      <c r="D319" s="15" t="s">
        <v>23</v>
      </c>
      <c r="E319" s="15" t="n">
        <f aca="false">E318</f>
        <v>213.75</v>
      </c>
      <c r="F319" s="26" t="n">
        <v>13.85</v>
      </c>
      <c r="G319" s="16" t="n">
        <f aca="false">F319*1.25</f>
        <v>17.3125</v>
      </c>
      <c r="H319" s="16" t="n">
        <f aca="false">J319*0.6</f>
        <v>2220.0075</v>
      </c>
      <c r="I319" s="16" t="n">
        <f aca="false">J319*0.4</f>
        <v>1480.005</v>
      </c>
      <c r="J319" s="16" t="n">
        <f aca="false">ROUND(E319,2)*(ROUND(G319,2))</f>
        <v>3700.0125</v>
      </c>
    </row>
    <row r="320" customFormat="false" ht="22.35" hidden="false" customHeight="false" outlineLevel="0" collapsed="false">
      <c r="A320" s="12" t="n">
        <v>88484</v>
      </c>
      <c r="B320" s="21" t="s">
        <v>515</v>
      </c>
      <c r="C320" s="13" t="s">
        <v>221</v>
      </c>
      <c r="D320" s="15" t="s">
        <v>23</v>
      </c>
      <c r="E320" s="15" t="n">
        <f aca="false">38.57*3</f>
        <v>115.71</v>
      </c>
      <c r="F320" s="26" t="n">
        <v>2.44</v>
      </c>
      <c r="G320" s="16" t="n">
        <f aca="false">F320*1.25</f>
        <v>3.05</v>
      </c>
      <c r="H320" s="16" t="n">
        <f aca="false">J320*0.6</f>
        <v>211.7493</v>
      </c>
      <c r="I320" s="16" t="n">
        <f aca="false">J320*0.4</f>
        <v>141.1662</v>
      </c>
      <c r="J320" s="16" t="n">
        <f aca="false">ROUND(E320,2)*(ROUND(G320,2))</f>
        <v>352.9155</v>
      </c>
    </row>
    <row r="321" customFormat="false" ht="22.35" hidden="false" customHeight="false" outlineLevel="0" collapsed="false">
      <c r="A321" s="12" t="n">
        <v>88488</v>
      </c>
      <c r="B321" s="21" t="s">
        <v>516</v>
      </c>
      <c r="C321" s="13" t="s">
        <v>223</v>
      </c>
      <c r="D321" s="15" t="s">
        <v>23</v>
      </c>
      <c r="E321" s="15" t="n">
        <f aca="false">E320</f>
        <v>115.71</v>
      </c>
      <c r="F321" s="26" t="n">
        <v>15.49</v>
      </c>
      <c r="G321" s="16" t="n">
        <f aca="false">F321*1.25</f>
        <v>19.3625</v>
      </c>
      <c r="H321" s="16" t="n">
        <f aca="false">J321*0.6</f>
        <v>1344.08736</v>
      </c>
      <c r="I321" s="16" t="n">
        <f aca="false">J321*0.4</f>
        <v>896.05824</v>
      </c>
      <c r="J321" s="16" t="n">
        <f aca="false">ROUND(E321,2)*(ROUND(G321,2))</f>
        <v>2240.1456</v>
      </c>
    </row>
    <row r="322" customFormat="false" ht="22.35" hidden="false" customHeight="false" outlineLevel="0" collapsed="false">
      <c r="A322" s="12" t="n">
        <v>102193</v>
      </c>
      <c r="B322" s="21" t="s">
        <v>517</v>
      </c>
      <c r="C322" s="13" t="s">
        <v>518</v>
      </c>
      <c r="D322" s="14" t="s">
        <v>23</v>
      </c>
      <c r="E322" s="15" t="n">
        <f aca="false">E320</f>
        <v>115.71</v>
      </c>
      <c r="F322" s="26" t="n">
        <v>1.52</v>
      </c>
      <c r="G322" s="16" t="n">
        <f aca="false">F322*1.25</f>
        <v>1.9</v>
      </c>
      <c r="H322" s="16" t="n">
        <f aca="false">J322*0.6</f>
        <v>131.9094</v>
      </c>
      <c r="I322" s="16" t="n">
        <f aca="false">J322*0.4</f>
        <v>87.9396</v>
      </c>
      <c r="J322" s="16" t="n">
        <f aca="false">ROUND(E322,2)*(ROUND(G322,2))</f>
        <v>219.849</v>
      </c>
    </row>
    <row r="323" customFormat="false" ht="22.35" hidden="false" customHeight="false" outlineLevel="0" collapsed="false">
      <c r="A323" s="12" t="n">
        <v>102214</v>
      </c>
      <c r="B323" s="21" t="s">
        <v>519</v>
      </c>
      <c r="C323" s="13" t="s">
        <v>520</v>
      </c>
      <c r="D323" s="14" t="s">
        <v>23</v>
      </c>
      <c r="E323" s="15" t="n">
        <f aca="false">E322</f>
        <v>115.71</v>
      </c>
      <c r="F323" s="26" t="n">
        <v>16.91</v>
      </c>
      <c r="G323" s="16" t="n">
        <f aca="false">F323*1.25</f>
        <v>21.1375</v>
      </c>
      <c r="H323" s="16" t="n">
        <f aca="false">J323*0.6</f>
        <v>1467.66564</v>
      </c>
      <c r="I323" s="16" t="n">
        <f aca="false">J323*0.4</f>
        <v>978.44376</v>
      </c>
      <c r="J323" s="16" t="n">
        <f aca="false">ROUND(E323,2)*(ROUND(G323,2))</f>
        <v>2446.1094</v>
      </c>
    </row>
    <row r="324" customFormat="false" ht="22.35" hidden="false" customHeight="false" outlineLevel="0" collapsed="false">
      <c r="A324" s="12" t="n">
        <v>102197</v>
      </c>
      <c r="B324" s="21" t="s">
        <v>521</v>
      </c>
      <c r="C324" s="13" t="s">
        <v>522</v>
      </c>
      <c r="D324" s="14" t="s">
        <v>23</v>
      </c>
      <c r="E324" s="15" t="n">
        <f aca="false">0.9*2.15*6</f>
        <v>11.61</v>
      </c>
      <c r="F324" s="26" t="n">
        <v>19.4</v>
      </c>
      <c r="G324" s="16" t="n">
        <f aca="false">F324*1.25</f>
        <v>24.25</v>
      </c>
      <c r="H324" s="16" t="n">
        <f aca="false">J324*0.6</f>
        <v>168.9255</v>
      </c>
      <c r="I324" s="16" t="n">
        <f aca="false">J324*0.4</f>
        <v>112.617</v>
      </c>
      <c r="J324" s="16" t="n">
        <f aca="false">ROUND(E324,2)*(ROUND(G324,2))</f>
        <v>281.5425</v>
      </c>
    </row>
    <row r="325" customFormat="false" ht="32.8" hidden="false" customHeight="false" outlineLevel="0" collapsed="false">
      <c r="A325" s="12" t="n">
        <v>102218</v>
      </c>
      <c r="B325" s="21" t="s">
        <v>523</v>
      </c>
      <c r="C325" s="13" t="s">
        <v>524</v>
      </c>
      <c r="D325" s="14" t="s">
        <v>23</v>
      </c>
      <c r="E325" s="15" t="n">
        <f aca="false">E324</f>
        <v>11.61</v>
      </c>
      <c r="F325" s="26" t="n">
        <v>12.44</v>
      </c>
      <c r="G325" s="16" t="n">
        <f aca="false">F325*1.25</f>
        <v>15.55</v>
      </c>
      <c r="H325" s="16" t="n">
        <f aca="false">J325*0.6</f>
        <v>108.3213</v>
      </c>
      <c r="I325" s="16" t="n">
        <f aca="false">J325*0.4</f>
        <v>72.2142</v>
      </c>
      <c r="J325" s="16" t="n">
        <f aca="false">ROUND(E325,2)*(ROUND(G325,2))</f>
        <v>180.5355</v>
      </c>
    </row>
    <row r="326" customFormat="false" ht="13.8" hidden="false" customHeight="false" outlineLevel="0" collapsed="false">
      <c r="A326" s="18"/>
      <c r="B326" s="18"/>
      <c r="C326" s="18"/>
      <c r="D326" s="18"/>
      <c r="E326" s="18"/>
      <c r="F326" s="18"/>
      <c r="G326" s="18"/>
      <c r="H326" s="18"/>
      <c r="I326" s="19" t="s">
        <v>32</v>
      </c>
      <c r="J326" s="20" t="n">
        <f aca="false">SUM(J307:J325)</f>
        <v>48121.7136</v>
      </c>
    </row>
    <row r="327" customFormat="false" ht="13.8" hidden="false" customHeight="false" outlineLevel="0" collapsed="false">
      <c r="A327" s="11" t="s">
        <v>525</v>
      </c>
      <c r="B327" s="11"/>
      <c r="C327" s="11"/>
      <c r="D327" s="11"/>
      <c r="E327" s="11"/>
      <c r="F327" s="11"/>
      <c r="G327" s="11"/>
      <c r="H327" s="11"/>
      <c r="I327" s="11"/>
      <c r="J327" s="11"/>
    </row>
    <row r="328" customFormat="false" ht="13.8" hidden="false" customHeight="false" outlineLevel="0" collapsed="false">
      <c r="A328" s="23" t="s">
        <v>526</v>
      </c>
      <c r="B328" s="23"/>
      <c r="C328" s="23"/>
      <c r="D328" s="23"/>
      <c r="E328" s="23"/>
      <c r="F328" s="23"/>
      <c r="G328" s="23"/>
      <c r="H328" s="23"/>
      <c r="I328" s="23"/>
      <c r="J328" s="23"/>
    </row>
    <row r="329" customFormat="false" ht="32.8" hidden="false" customHeight="false" outlineLevel="0" collapsed="false">
      <c r="A329" s="12" t="n">
        <v>97643</v>
      </c>
      <c r="B329" s="21" t="s">
        <v>527</v>
      </c>
      <c r="C329" s="13" t="s">
        <v>528</v>
      </c>
      <c r="D329" s="14" t="s">
        <v>23</v>
      </c>
      <c r="E329" s="15" t="n">
        <v>12.91</v>
      </c>
      <c r="F329" s="26" t="n">
        <v>19.67</v>
      </c>
      <c r="G329" s="16" t="n">
        <f aca="false">F329*1.25</f>
        <v>24.5875</v>
      </c>
      <c r="H329" s="16" t="n">
        <f aca="false">J329*0.6</f>
        <v>190.47414</v>
      </c>
      <c r="I329" s="16" t="n">
        <f aca="false">J329*0.4</f>
        <v>126.98276</v>
      </c>
      <c r="J329" s="16" t="n">
        <f aca="false">ROUND(E329,2)*(ROUND(G329,2))</f>
        <v>317.4569</v>
      </c>
    </row>
    <row r="330" customFormat="false" ht="22.35" hidden="false" customHeight="false" outlineLevel="0" collapsed="false">
      <c r="A330" s="12" t="n">
        <v>97633</v>
      </c>
      <c r="B330" s="21" t="s">
        <v>529</v>
      </c>
      <c r="C330" s="13" t="s">
        <v>456</v>
      </c>
      <c r="D330" s="14" t="s">
        <v>23</v>
      </c>
      <c r="E330" s="15" t="n">
        <v>24.48</v>
      </c>
      <c r="F330" s="26" t="n">
        <v>18.24</v>
      </c>
      <c r="G330" s="16" t="n">
        <f aca="false">F330*1.25</f>
        <v>22.8</v>
      </c>
      <c r="H330" s="16" t="n">
        <f aca="false">J330*0.6</f>
        <v>334.8864</v>
      </c>
      <c r="I330" s="16" t="n">
        <f aca="false">J330*0.4</f>
        <v>223.2576</v>
      </c>
      <c r="J330" s="16" t="n">
        <f aca="false">ROUND(E330,2)*(ROUND(G330,2))</f>
        <v>558.144</v>
      </c>
    </row>
    <row r="331" customFormat="false" ht="22.35" hidden="false" customHeight="false" outlineLevel="0" collapsed="false">
      <c r="A331" s="12" t="n">
        <v>97622</v>
      </c>
      <c r="B331" s="21" t="s">
        <v>530</v>
      </c>
      <c r="C331" s="13" t="s">
        <v>458</v>
      </c>
      <c r="D331" s="14" t="s">
        <v>23</v>
      </c>
      <c r="E331" s="15" t="n">
        <f aca="false">((1.1+4.1)*2.7)+(2*1.5*2)</f>
        <v>20.04</v>
      </c>
      <c r="F331" s="26" t="n">
        <v>46.12</v>
      </c>
      <c r="G331" s="16" t="n">
        <f aca="false">F331*1.25</f>
        <v>57.65</v>
      </c>
      <c r="H331" s="16" t="n">
        <f aca="false">J331*0.6</f>
        <v>693.1836</v>
      </c>
      <c r="I331" s="16" t="n">
        <f aca="false">J331*0.4</f>
        <v>462.1224</v>
      </c>
      <c r="J331" s="16" t="n">
        <f aca="false">ROUND(E331,2)*(ROUND(G331,2))</f>
        <v>1155.306</v>
      </c>
    </row>
    <row r="332" customFormat="false" ht="22.35" hidden="false" customHeight="false" outlineLevel="0" collapsed="false">
      <c r="A332" s="12" t="n">
        <v>97644</v>
      </c>
      <c r="B332" s="21" t="s">
        <v>531</v>
      </c>
      <c r="C332" s="13" t="s">
        <v>500</v>
      </c>
      <c r="D332" s="14" t="s">
        <v>23</v>
      </c>
      <c r="E332" s="15" t="n">
        <f aca="false">1*2.1*2</f>
        <v>4.2</v>
      </c>
      <c r="F332" s="26" t="n">
        <v>7.41</v>
      </c>
      <c r="G332" s="16" t="n">
        <f aca="false">F332*1.25</f>
        <v>9.2625</v>
      </c>
      <c r="H332" s="16" t="n">
        <f aca="false">J332*0.6</f>
        <v>23.3352</v>
      </c>
      <c r="I332" s="16" t="n">
        <f aca="false">J332*0.4</f>
        <v>15.5568</v>
      </c>
      <c r="J332" s="16" t="n">
        <f aca="false">ROUND(E332,2)*(ROUND(G332,2))</f>
        <v>38.892</v>
      </c>
    </row>
    <row r="333" customFormat="false" ht="22.35" hidden="false" customHeight="false" outlineLevel="0" collapsed="false">
      <c r="A333" s="12" t="n">
        <v>97645</v>
      </c>
      <c r="B333" s="21" t="s">
        <v>532</v>
      </c>
      <c r="C333" s="13" t="s">
        <v>533</v>
      </c>
      <c r="D333" s="14" t="s">
        <v>23</v>
      </c>
      <c r="E333" s="15" t="n">
        <f aca="false">(1.5*1.5*2)+(1.5*1.5)</f>
        <v>6.75</v>
      </c>
      <c r="F333" s="26" t="n">
        <v>28.58</v>
      </c>
      <c r="G333" s="16" t="n">
        <f aca="false">F333*1.25</f>
        <v>35.725</v>
      </c>
      <c r="H333" s="16" t="n">
        <f aca="false">J333*0.6</f>
        <v>144.7065</v>
      </c>
      <c r="I333" s="16" t="n">
        <f aca="false">J333*0.4</f>
        <v>96.471</v>
      </c>
      <c r="J333" s="16" t="n">
        <f aca="false">ROUND(E333,2)*(ROUND(G333,2))</f>
        <v>241.1775</v>
      </c>
    </row>
    <row r="334" customFormat="false" ht="13.8" hidden="false" customHeight="false" outlineLevel="0" collapsed="false">
      <c r="A334" s="23" t="s">
        <v>534</v>
      </c>
      <c r="B334" s="23"/>
      <c r="C334" s="23"/>
      <c r="D334" s="23"/>
      <c r="E334" s="23"/>
      <c r="F334" s="23"/>
      <c r="G334" s="23"/>
      <c r="H334" s="23"/>
      <c r="I334" s="23"/>
      <c r="J334" s="23"/>
    </row>
    <row r="335" customFormat="false" ht="22.35" hidden="false" customHeight="false" outlineLevel="0" collapsed="false">
      <c r="A335" s="21" t="n">
        <v>96522</v>
      </c>
      <c r="B335" s="13" t="s">
        <v>535</v>
      </c>
      <c r="C335" s="22" t="s">
        <v>43</v>
      </c>
      <c r="D335" s="14" t="s">
        <v>41</v>
      </c>
      <c r="E335" s="14" t="n">
        <f aca="false">(0.6*0.6*0.5)</f>
        <v>0.18</v>
      </c>
      <c r="F335" s="26" t="n">
        <v>124.48</v>
      </c>
      <c r="G335" s="16" t="n">
        <f aca="false">F335*1.25</f>
        <v>155.6</v>
      </c>
      <c r="H335" s="16" t="n">
        <f aca="false">J335*0.6</f>
        <v>16.8048</v>
      </c>
      <c r="I335" s="16" t="n">
        <f aca="false">J335*0.4</f>
        <v>11.2032</v>
      </c>
      <c r="J335" s="16" t="n">
        <f aca="false">ROUND(E335,2)*(ROUND(G335,2))</f>
        <v>28.008</v>
      </c>
    </row>
    <row r="336" customFormat="false" ht="32.8" hidden="false" customHeight="false" outlineLevel="0" collapsed="false">
      <c r="A336" s="21" t="n">
        <v>96619</v>
      </c>
      <c r="B336" s="13" t="s">
        <v>536</v>
      </c>
      <c r="C336" s="22" t="s">
        <v>50</v>
      </c>
      <c r="D336" s="14" t="s">
        <v>23</v>
      </c>
      <c r="E336" s="14" t="n">
        <f aca="false">(0.6*0.6)</f>
        <v>0.36</v>
      </c>
      <c r="F336" s="26" t="n">
        <v>25.07</v>
      </c>
      <c r="G336" s="16" t="n">
        <f aca="false">F336*1.25</f>
        <v>31.3375</v>
      </c>
      <c r="H336" s="16" t="n">
        <f aca="false">J336*0.6</f>
        <v>6.76944</v>
      </c>
      <c r="I336" s="16" t="n">
        <f aca="false">J336*0.4</f>
        <v>4.51296</v>
      </c>
      <c r="J336" s="16" t="n">
        <f aca="false">ROUND(E336,2)*(ROUND(G336,2))</f>
        <v>11.2824</v>
      </c>
    </row>
    <row r="337" customFormat="false" ht="22.35" hidden="false" customHeight="false" outlineLevel="0" collapsed="false">
      <c r="A337" s="21" t="n">
        <v>96546</v>
      </c>
      <c r="B337" s="13" t="s">
        <v>537</v>
      </c>
      <c r="C337" s="22" t="s">
        <v>465</v>
      </c>
      <c r="D337" s="14" t="s">
        <v>53</v>
      </c>
      <c r="E337" s="14" t="n">
        <f aca="false">(2.06*10*0.63)</f>
        <v>12.978</v>
      </c>
      <c r="F337" s="26" t="n">
        <v>16.79</v>
      </c>
      <c r="G337" s="16" t="n">
        <f aca="false">F337*1.25</f>
        <v>20.9875</v>
      </c>
      <c r="H337" s="16" t="n">
        <f aca="false">J337*0.6</f>
        <v>163.47012</v>
      </c>
      <c r="I337" s="16" t="n">
        <f aca="false">J337*0.4</f>
        <v>108.98008</v>
      </c>
      <c r="J337" s="16" t="n">
        <f aca="false">ROUND(E337,2)*(ROUND(G337,2))</f>
        <v>272.4502</v>
      </c>
    </row>
    <row r="338" customFormat="false" ht="32.8" hidden="false" customHeight="false" outlineLevel="0" collapsed="false">
      <c r="A338" s="21" t="n">
        <v>96555</v>
      </c>
      <c r="B338" s="13" t="s">
        <v>538</v>
      </c>
      <c r="C338" s="22" t="s">
        <v>467</v>
      </c>
      <c r="D338" s="14" t="s">
        <v>41</v>
      </c>
      <c r="E338" s="14" t="n">
        <f aca="false">(0.6*0.6*0.5)</f>
        <v>0.18</v>
      </c>
      <c r="F338" s="26" t="n">
        <v>562.83</v>
      </c>
      <c r="G338" s="16" t="n">
        <f aca="false">F338*1.25</f>
        <v>703.5375</v>
      </c>
      <c r="H338" s="16" t="n">
        <f aca="false">J338*0.6</f>
        <v>75.98232</v>
      </c>
      <c r="I338" s="16" t="n">
        <f aca="false">J338*0.4</f>
        <v>50.65488</v>
      </c>
      <c r="J338" s="16" t="n">
        <f aca="false">ROUND(E338,2)*(ROUND(G338,2))</f>
        <v>126.6372</v>
      </c>
    </row>
    <row r="339" customFormat="false" ht="49.95" hidden="false" customHeight="true" outlineLevel="0" collapsed="false">
      <c r="A339" s="24" t="n">
        <v>92778</v>
      </c>
      <c r="B339" s="13" t="s">
        <v>539</v>
      </c>
      <c r="C339" s="25" t="s">
        <v>70</v>
      </c>
      <c r="D339" s="15" t="s">
        <v>53</v>
      </c>
      <c r="E339" s="15" t="n">
        <f aca="false">(6*3.95*0.63)</f>
        <v>14.931</v>
      </c>
      <c r="F339" s="26" t="n">
        <v>16.72</v>
      </c>
      <c r="G339" s="16" t="n">
        <f aca="false">F339*1.25</f>
        <v>20.9</v>
      </c>
      <c r="H339" s="26" t="n">
        <f aca="false">J339*0.6</f>
        <v>187.2222</v>
      </c>
      <c r="I339" s="26" t="n">
        <f aca="false">J339*0.4</f>
        <v>124.8148</v>
      </c>
      <c r="J339" s="16" t="n">
        <f aca="false">ROUND(E339,2)*(ROUND(G339,2))</f>
        <v>312.037</v>
      </c>
    </row>
    <row r="340" customFormat="false" ht="43.25" hidden="false" customHeight="false" outlineLevel="0" collapsed="false">
      <c r="A340" s="24" t="n">
        <v>92775</v>
      </c>
      <c r="B340" s="13" t="s">
        <v>540</v>
      </c>
      <c r="C340" s="25" t="s">
        <v>72</v>
      </c>
      <c r="D340" s="15" t="s">
        <v>53</v>
      </c>
      <c r="E340" s="15" t="n">
        <f aca="false">((3.95/0.15)*1.43*0.16)</f>
        <v>6.02506666666667</v>
      </c>
      <c r="F340" s="26" t="n">
        <v>20.25</v>
      </c>
      <c r="G340" s="16" t="n">
        <f aca="false">F340*1.25</f>
        <v>25.3125</v>
      </c>
      <c r="H340" s="26" t="n">
        <f aca="false">J340*0.6</f>
        <v>91.57158</v>
      </c>
      <c r="I340" s="26" t="n">
        <f aca="false">J340*0.4</f>
        <v>61.04772</v>
      </c>
      <c r="J340" s="16" t="n">
        <f aca="false">ROUND(E340,2)*(ROUND(G340,2))</f>
        <v>152.6193</v>
      </c>
    </row>
    <row r="341" customFormat="false" ht="32.8" hidden="false" customHeight="false" outlineLevel="0" collapsed="false">
      <c r="A341" s="24" t="n">
        <v>92263</v>
      </c>
      <c r="B341" s="13" t="s">
        <v>541</v>
      </c>
      <c r="C341" s="13" t="s">
        <v>74</v>
      </c>
      <c r="D341" s="15" t="s">
        <v>23</v>
      </c>
      <c r="E341" s="15" t="n">
        <f aca="false">(0.25*3.95)+(0.5*3.95*2)</f>
        <v>4.9375</v>
      </c>
      <c r="F341" s="26" t="n">
        <v>132.15</v>
      </c>
      <c r="G341" s="16" t="n">
        <f aca="false">F341*1.25</f>
        <v>165.1875</v>
      </c>
      <c r="H341" s="26" t="n">
        <f aca="false">J341*0.6</f>
        <v>489.62316</v>
      </c>
      <c r="I341" s="26" t="n">
        <f aca="false">J341*0.4</f>
        <v>326.41544</v>
      </c>
      <c r="J341" s="16" t="n">
        <f aca="false">ROUND(E341,2)*(ROUND(G341,2))</f>
        <v>816.0386</v>
      </c>
    </row>
    <row r="342" customFormat="false" ht="43.25" hidden="false" customHeight="false" outlineLevel="0" collapsed="false">
      <c r="A342" s="24" t="n">
        <v>92718</v>
      </c>
      <c r="B342" s="13" t="s">
        <v>542</v>
      </c>
      <c r="C342" s="13" t="s">
        <v>103</v>
      </c>
      <c r="D342" s="15" t="s">
        <v>41</v>
      </c>
      <c r="E342" s="15" t="n">
        <f aca="false">0.25*0.5*3.95</f>
        <v>0.49375</v>
      </c>
      <c r="F342" s="26" t="n">
        <v>588.54</v>
      </c>
      <c r="G342" s="16" t="n">
        <f aca="false">F342*1.25</f>
        <v>735.675</v>
      </c>
      <c r="H342" s="26" t="n">
        <f aca="false">J342*0.6</f>
        <v>216.28992</v>
      </c>
      <c r="I342" s="26" t="n">
        <f aca="false">J342*0.4</f>
        <v>144.19328</v>
      </c>
      <c r="J342" s="16" t="n">
        <f aca="false">ROUND(E342,2)*(ROUND(G342,2))</f>
        <v>360.4832</v>
      </c>
    </row>
    <row r="343" customFormat="false" ht="53.7" hidden="false" customHeight="false" outlineLevel="0" collapsed="false">
      <c r="A343" s="13" t="n">
        <v>87505</v>
      </c>
      <c r="B343" s="13" t="s">
        <v>543</v>
      </c>
      <c r="C343" s="13" t="s">
        <v>64</v>
      </c>
      <c r="D343" s="14" t="s">
        <v>23</v>
      </c>
      <c r="E343" s="15" t="n">
        <f aca="false">(0.9*2.1)+(1.5*1.5)</f>
        <v>4.14</v>
      </c>
      <c r="F343" s="26" t="n">
        <v>69.28</v>
      </c>
      <c r="G343" s="16" t="n">
        <f aca="false">F343*1.25</f>
        <v>86.6</v>
      </c>
      <c r="H343" s="16" t="n">
        <f aca="false">J343*0.6</f>
        <v>215.1144</v>
      </c>
      <c r="I343" s="16" t="n">
        <f aca="false">J343*0.4</f>
        <v>143.4096</v>
      </c>
      <c r="J343" s="16" t="n">
        <f aca="false">ROUND(E343,2)*(ROUND(G343,2))</f>
        <v>358.524</v>
      </c>
    </row>
    <row r="344" customFormat="false" ht="13.8" hidden="false" customHeight="false" outlineLevel="0" collapsed="false">
      <c r="A344" s="23" t="s">
        <v>544</v>
      </c>
      <c r="B344" s="23"/>
      <c r="C344" s="23"/>
      <c r="D344" s="23"/>
      <c r="E344" s="23"/>
      <c r="F344" s="23"/>
      <c r="G344" s="23"/>
      <c r="H344" s="23"/>
      <c r="I344" s="23"/>
      <c r="J344" s="23"/>
    </row>
    <row r="345" customFormat="false" ht="43.25" hidden="false" customHeight="false" outlineLevel="0" collapsed="false">
      <c r="A345" s="13" t="n">
        <v>87879</v>
      </c>
      <c r="B345" s="21" t="s">
        <v>545</v>
      </c>
      <c r="C345" s="13" t="s">
        <v>156</v>
      </c>
      <c r="D345" s="14" t="s">
        <v>23</v>
      </c>
      <c r="E345" s="15" t="n">
        <f aca="false">E341+(E343*2)</f>
        <v>13.2175</v>
      </c>
      <c r="F345" s="26" t="n">
        <v>3.45</v>
      </c>
      <c r="G345" s="16" t="n">
        <f aca="false">F345*1.25</f>
        <v>4.3125</v>
      </c>
      <c r="H345" s="16" t="n">
        <f aca="false">J345*0.6</f>
        <v>34.18692</v>
      </c>
      <c r="I345" s="16" t="n">
        <f aca="false">J345*0.4</f>
        <v>22.79128</v>
      </c>
      <c r="J345" s="16" t="n">
        <f aca="false">ROUND(E345,2)*(ROUND(G345,2))</f>
        <v>56.9782</v>
      </c>
    </row>
    <row r="346" customFormat="false" ht="53.7" hidden="false" customHeight="false" outlineLevel="0" collapsed="false">
      <c r="A346" s="13" t="n">
        <v>87529</v>
      </c>
      <c r="B346" s="21" t="s">
        <v>546</v>
      </c>
      <c r="C346" s="13" t="s">
        <v>158</v>
      </c>
      <c r="D346" s="14" t="s">
        <v>23</v>
      </c>
      <c r="E346" s="15" t="n">
        <f aca="false">E345</f>
        <v>13.2175</v>
      </c>
      <c r="F346" s="26" t="n">
        <v>29.01</v>
      </c>
      <c r="G346" s="16" t="n">
        <f aca="false">F346*1.25</f>
        <v>36.2625</v>
      </c>
      <c r="H346" s="16" t="n">
        <f aca="false">J346*0.6</f>
        <v>287.61432</v>
      </c>
      <c r="I346" s="16" t="n">
        <f aca="false">J346*0.4</f>
        <v>191.74288</v>
      </c>
      <c r="J346" s="16" t="n">
        <f aca="false">ROUND(E346,2)*(ROUND(G346,2))</f>
        <v>479.3572</v>
      </c>
    </row>
    <row r="347" customFormat="false" ht="22.35" hidden="false" customHeight="false" outlineLevel="0" collapsed="false">
      <c r="A347" s="13" t="s">
        <v>159</v>
      </c>
      <c r="B347" s="21" t="s">
        <v>547</v>
      </c>
      <c r="C347" s="13" t="s">
        <v>161</v>
      </c>
      <c r="D347" s="14" t="s">
        <v>23</v>
      </c>
      <c r="E347" s="15" t="n">
        <f aca="false">E346</f>
        <v>13.2175</v>
      </c>
      <c r="F347" s="26" t="n">
        <v>4.48</v>
      </c>
      <c r="G347" s="16" t="n">
        <f aca="false">F347*1.25</f>
        <v>5.6</v>
      </c>
      <c r="H347" s="16" t="n">
        <f aca="false">J347*0.6</f>
        <v>44.4192</v>
      </c>
      <c r="I347" s="16" t="n">
        <f aca="false">J347*0.4</f>
        <v>29.6128</v>
      </c>
      <c r="J347" s="16" t="n">
        <f aca="false">ROUND(E347,2)*(ROUND(G347,2))</f>
        <v>74.032</v>
      </c>
    </row>
    <row r="348" customFormat="false" ht="22.35" hidden="false" customHeight="false" outlineLevel="0" collapsed="false">
      <c r="A348" s="13" t="n">
        <v>88495</v>
      </c>
      <c r="B348" s="21" t="s">
        <v>548</v>
      </c>
      <c r="C348" s="13" t="s">
        <v>549</v>
      </c>
      <c r="D348" s="14" t="s">
        <v>23</v>
      </c>
      <c r="E348" s="15" t="n">
        <f aca="false">E343*2</f>
        <v>8.28</v>
      </c>
      <c r="F348" s="26" t="n">
        <v>9.76</v>
      </c>
      <c r="G348" s="16" t="n">
        <f aca="false">F348*1.25</f>
        <v>12.2</v>
      </c>
      <c r="H348" s="16" t="n">
        <f aca="false">J348*0.6</f>
        <v>60.6096</v>
      </c>
      <c r="I348" s="16" t="n">
        <f aca="false">J348*0.4</f>
        <v>40.4064</v>
      </c>
      <c r="J348" s="16" t="n">
        <f aca="false">ROUND(E348,2)*(ROUND(G348,2))</f>
        <v>101.016</v>
      </c>
    </row>
    <row r="349" customFormat="false" ht="22.35" hidden="false" customHeight="false" outlineLevel="0" collapsed="false">
      <c r="A349" s="13" t="n">
        <v>88476</v>
      </c>
      <c r="B349" s="21" t="s">
        <v>550</v>
      </c>
      <c r="C349" s="13" t="s">
        <v>148</v>
      </c>
      <c r="D349" s="14" t="s">
        <v>23</v>
      </c>
      <c r="E349" s="15" t="n">
        <v>38.18</v>
      </c>
      <c r="F349" s="26" t="n">
        <v>16.59</v>
      </c>
      <c r="G349" s="16" t="n">
        <f aca="false">F349*1.25</f>
        <v>20.7375</v>
      </c>
      <c r="H349" s="16" t="n">
        <f aca="false">J349*0.6</f>
        <v>475.11192</v>
      </c>
      <c r="I349" s="16" t="n">
        <f aca="false">J349*0.4</f>
        <v>316.74128</v>
      </c>
      <c r="J349" s="16" t="n">
        <f aca="false">ROUND(E349,2)*(ROUND(G349,2))</f>
        <v>791.8532</v>
      </c>
    </row>
    <row r="350" customFormat="false" ht="43.25" hidden="false" customHeight="false" outlineLevel="0" collapsed="false">
      <c r="A350" s="13" t="n">
        <v>87260</v>
      </c>
      <c r="B350" s="21" t="s">
        <v>551</v>
      </c>
      <c r="C350" s="13" t="s">
        <v>150</v>
      </c>
      <c r="D350" s="14" t="s">
        <v>23</v>
      </c>
      <c r="E350" s="15" t="n">
        <v>38.18</v>
      </c>
      <c r="F350" s="26" t="n">
        <v>100.37</v>
      </c>
      <c r="G350" s="16" t="n">
        <f aca="false">F350*1.25</f>
        <v>125.4625</v>
      </c>
      <c r="H350" s="16" t="n">
        <f aca="false">J350*0.6</f>
        <v>2874.03768</v>
      </c>
      <c r="I350" s="16" t="n">
        <f aca="false">J350*0.4</f>
        <v>1916.02512</v>
      </c>
      <c r="J350" s="16" t="n">
        <f aca="false">ROUND(E350,2)*(ROUND(G350,2))</f>
        <v>4790.0628</v>
      </c>
    </row>
    <row r="351" customFormat="false" ht="53.7" hidden="false" customHeight="false" outlineLevel="0" collapsed="false">
      <c r="A351" s="13" t="n">
        <v>90793</v>
      </c>
      <c r="B351" s="21" t="s">
        <v>552</v>
      </c>
      <c r="C351" s="13" t="s">
        <v>193</v>
      </c>
      <c r="D351" s="14" t="s">
        <v>27</v>
      </c>
      <c r="E351" s="15" t="n">
        <v>1</v>
      </c>
      <c r="F351" s="26" t="n">
        <v>953.59</v>
      </c>
      <c r="G351" s="16" t="n">
        <f aca="false">F351*1.25</f>
        <v>1191.9875</v>
      </c>
      <c r="H351" s="16" t="n">
        <f aca="false">J351*0.6</f>
        <v>715.194</v>
      </c>
      <c r="I351" s="16" t="n">
        <f aca="false">J351*0.4</f>
        <v>476.796</v>
      </c>
      <c r="J351" s="16" t="n">
        <f aca="false">ROUND(E351,2)*(ROUND(G351,2))</f>
        <v>1191.99</v>
      </c>
    </row>
    <row r="352" customFormat="false" ht="43.25" hidden="false" customHeight="false" outlineLevel="0" collapsed="false">
      <c r="A352" s="13" t="n">
        <v>94569</v>
      </c>
      <c r="B352" s="21" t="s">
        <v>553</v>
      </c>
      <c r="C352" s="13" t="s">
        <v>133</v>
      </c>
      <c r="D352" s="14" t="s">
        <v>23</v>
      </c>
      <c r="E352" s="15" t="n">
        <f aca="false">(1.5*1.02*2)</f>
        <v>3.06</v>
      </c>
      <c r="F352" s="26" t="n">
        <v>535.56</v>
      </c>
      <c r="G352" s="16" t="n">
        <f aca="false">F352*1.25</f>
        <v>669.45</v>
      </c>
      <c r="H352" s="16" t="n">
        <f aca="false">J352*0.6</f>
        <v>1229.1102</v>
      </c>
      <c r="I352" s="16" t="n">
        <f aca="false">J352*0.4</f>
        <v>819.4068</v>
      </c>
      <c r="J352" s="16" t="n">
        <f aca="false">ROUND(E352,2)*(ROUND(G352,2))</f>
        <v>2048.517</v>
      </c>
    </row>
    <row r="353" customFormat="false" ht="43.25" hidden="false" customHeight="false" outlineLevel="0" collapsed="false">
      <c r="A353" s="13" t="n">
        <v>100674</v>
      </c>
      <c r="B353" s="21" t="s">
        <v>554</v>
      </c>
      <c r="C353" s="13" t="s">
        <v>203</v>
      </c>
      <c r="D353" s="14" t="s">
        <v>23</v>
      </c>
      <c r="E353" s="15" t="n">
        <f aca="false">(1.5*0.48*2)</f>
        <v>1.44</v>
      </c>
      <c r="F353" s="26" t="n">
        <v>357.35</v>
      </c>
      <c r="G353" s="16" t="n">
        <f aca="false">F353*1.25</f>
        <v>446.6875</v>
      </c>
      <c r="H353" s="16" t="n">
        <f aca="false">J353*0.6</f>
        <v>385.94016</v>
      </c>
      <c r="I353" s="16" t="n">
        <f aca="false">J353*0.4</f>
        <v>257.29344</v>
      </c>
      <c r="J353" s="16" t="n">
        <f aca="false">ROUND(E353,2)*(ROUND(G353,2))</f>
        <v>643.2336</v>
      </c>
    </row>
    <row r="354" customFormat="false" ht="32.8" hidden="false" customHeight="false" outlineLevel="0" collapsed="false">
      <c r="A354" s="13" t="n">
        <v>100659</v>
      </c>
      <c r="B354" s="21" t="s">
        <v>555</v>
      </c>
      <c r="C354" s="13" t="s">
        <v>187</v>
      </c>
      <c r="D354" s="14" t="s">
        <v>38</v>
      </c>
      <c r="E354" s="15" t="n">
        <f aca="false">1.5*2</f>
        <v>3</v>
      </c>
      <c r="F354" s="26" t="n">
        <v>12.16</v>
      </c>
      <c r="G354" s="16" t="n">
        <f aca="false">F354*1.25</f>
        <v>15.2</v>
      </c>
      <c r="H354" s="16" t="n">
        <f aca="false">J354*0.6</f>
        <v>27.36</v>
      </c>
      <c r="I354" s="16" t="n">
        <f aca="false">J354*0.4</f>
        <v>18.24</v>
      </c>
      <c r="J354" s="16" t="n">
        <f aca="false">ROUND(E354,2)*(ROUND(G354,2))</f>
        <v>45.6</v>
      </c>
    </row>
    <row r="355" customFormat="false" ht="22.35" hidden="false" customHeight="false" outlineLevel="0" collapsed="false">
      <c r="A355" s="13" t="n">
        <v>99862</v>
      </c>
      <c r="B355" s="21" t="s">
        <v>556</v>
      </c>
      <c r="C355" s="13" t="s">
        <v>508</v>
      </c>
      <c r="D355" s="14" t="s">
        <v>23</v>
      </c>
      <c r="E355" s="15" t="n">
        <f aca="false">E352+E353</f>
        <v>4.5</v>
      </c>
      <c r="F355" s="26" t="n">
        <v>530.39</v>
      </c>
      <c r="G355" s="16" t="n">
        <f aca="false">F355*1.25</f>
        <v>662.9875</v>
      </c>
      <c r="H355" s="16" t="n">
        <f aca="false">J355*0.6</f>
        <v>1790.073</v>
      </c>
      <c r="I355" s="16" t="n">
        <f aca="false">J355*0.4</f>
        <v>1193.382</v>
      </c>
      <c r="J355" s="16" t="n">
        <f aca="false">ROUND(E355,2)*(ROUND(G355,2))</f>
        <v>2983.455</v>
      </c>
    </row>
    <row r="356" customFormat="false" ht="53.7" hidden="false" customHeight="false" outlineLevel="0" collapsed="false">
      <c r="A356" s="13" t="n">
        <v>94570</v>
      </c>
      <c r="B356" s="21" t="s">
        <v>557</v>
      </c>
      <c r="C356" s="13" t="s">
        <v>558</v>
      </c>
      <c r="D356" s="14" t="s">
        <v>23</v>
      </c>
      <c r="E356" s="15" t="n">
        <f aca="false">2*1.5*2</f>
        <v>6</v>
      </c>
      <c r="F356" s="26" t="n">
        <v>340.97</v>
      </c>
      <c r="G356" s="16" t="n">
        <f aca="false">F356*1.25</f>
        <v>426.2125</v>
      </c>
      <c r="H356" s="16" t="n">
        <f aca="false">J356*0.6</f>
        <v>1534.356</v>
      </c>
      <c r="I356" s="16" t="n">
        <f aca="false">J356*0.4</f>
        <v>1022.904</v>
      </c>
      <c r="J356" s="16" t="n">
        <f aca="false">ROUND(E356,2)*(ROUND(G356,2))</f>
        <v>2557.26</v>
      </c>
    </row>
    <row r="357" customFormat="false" ht="32.8" hidden="false" customHeight="false" outlineLevel="0" collapsed="false">
      <c r="A357" s="13" t="s">
        <v>159</v>
      </c>
      <c r="B357" s="21" t="s">
        <v>559</v>
      </c>
      <c r="C357" s="13" t="s">
        <v>208</v>
      </c>
      <c r="D357" s="14" t="s">
        <v>23</v>
      </c>
      <c r="E357" s="15" t="n">
        <v>7.2</v>
      </c>
      <c r="F357" s="26" t="n">
        <v>350</v>
      </c>
      <c r="G357" s="16" t="n">
        <f aca="false">F357*1.25</f>
        <v>437.5</v>
      </c>
      <c r="H357" s="16" t="n">
        <f aca="false">J357*0.6</f>
        <v>1890</v>
      </c>
      <c r="I357" s="16" t="n">
        <f aca="false">J357*0.4</f>
        <v>1260</v>
      </c>
      <c r="J357" s="16" t="n">
        <f aca="false">ROUND(E357,2)*(ROUND(G357,2))</f>
        <v>3150</v>
      </c>
    </row>
    <row r="358" customFormat="false" ht="13.8" hidden="false" customHeight="false" outlineLevel="0" collapsed="false">
      <c r="A358" s="13" t="n">
        <v>99803</v>
      </c>
      <c r="B358" s="21" t="s">
        <v>560</v>
      </c>
      <c r="C358" s="13" t="s">
        <v>487</v>
      </c>
      <c r="D358" s="14" t="s">
        <v>23</v>
      </c>
      <c r="E358" s="15" t="n">
        <f aca="false">E361+E363</f>
        <v>112.28</v>
      </c>
      <c r="F358" s="26" t="n">
        <v>1.72</v>
      </c>
      <c r="G358" s="16" t="n">
        <f aca="false">F358*1.25</f>
        <v>2.15</v>
      </c>
      <c r="H358" s="16" t="n">
        <f aca="false">J358*0.6</f>
        <v>144.8412</v>
      </c>
      <c r="I358" s="16" t="n">
        <f aca="false">J358*0.4</f>
        <v>96.5608</v>
      </c>
      <c r="J358" s="16" t="n">
        <f aca="false">ROUND(E358,2)*(ROUND(G358,2))</f>
        <v>241.402</v>
      </c>
    </row>
    <row r="359" customFormat="false" ht="22.35" hidden="false" customHeight="false" outlineLevel="0" collapsed="false">
      <c r="A359" s="13" t="n">
        <v>102193</v>
      </c>
      <c r="B359" s="21" t="s">
        <v>561</v>
      </c>
      <c r="C359" s="9" t="s">
        <v>489</v>
      </c>
      <c r="D359" s="21" t="s">
        <v>23</v>
      </c>
      <c r="E359" s="29" t="n">
        <f aca="false">E358</f>
        <v>112.28</v>
      </c>
      <c r="F359" s="26" t="n">
        <v>1.52</v>
      </c>
      <c r="G359" s="16" t="n">
        <f aca="false">F359*1.25</f>
        <v>1.9</v>
      </c>
      <c r="H359" s="16" t="n">
        <f aca="false">J359*0.6</f>
        <v>127.9992</v>
      </c>
      <c r="I359" s="16" t="n">
        <f aca="false">J359*0.4</f>
        <v>85.3328</v>
      </c>
      <c r="J359" s="16" t="n">
        <f aca="false">ROUND(E359,2)*(ROUND(G359,2))</f>
        <v>213.332</v>
      </c>
    </row>
    <row r="360" customFormat="false" ht="13.8" hidden="false" customHeight="false" outlineLevel="0" collapsed="false">
      <c r="A360" s="12" t="n">
        <v>100718</v>
      </c>
      <c r="B360" s="21" t="s">
        <v>562</v>
      </c>
      <c r="C360" s="13" t="s">
        <v>215</v>
      </c>
      <c r="D360" s="15" t="s">
        <v>38</v>
      </c>
      <c r="E360" s="15" t="n">
        <v>30</v>
      </c>
      <c r="F360" s="26" t="n">
        <v>1.07</v>
      </c>
      <c r="G360" s="16" t="n">
        <f aca="false">F360*1.25</f>
        <v>1.3375</v>
      </c>
      <c r="H360" s="16" t="n">
        <f aca="false">J360*0.6</f>
        <v>24.12</v>
      </c>
      <c r="I360" s="16" t="n">
        <f aca="false">J360*0.4</f>
        <v>16.08</v>
      </c>
      <c r="J360" s="16" t="n">
        <f aca="false">ROUND(E360,2)*(ROUND(G360,2))</f>
        <v>40.2</v>
      </c>
    </row>
    <row r="361" customFormat="false" ht="22.35" hidden="false" customHeight="false" outlineLevel="0" collapsed="false">
      <c r="A361" s="12" t="n">
        <v>88485</v>
      </c>
      <c r="B361" s="21" t="s">
        <v>563</v>
      </c>
      <c r="C361" s="13" t="s">
        <v>217</v>
      </c>
      <c r="D361" s="15" t="s">
        <v>23</v>
      </c>
      <c r="E361" s="15" t="n">
        <f aca="false">(5.45+5.35+7.65+4.1+2.2+1.25)*2.85</f>
        <v>74.1</v>
      </c>
      <c r="F361" s="26" t="n">
        <v>2.08</v>
      </c>
      <c r="G361" s="16" t="n">
        <f aca="false">F361*1.25</f>
        <v>2.6</v>
      </c>
      <c r="H361" s="16" t="n">
        <f aca="false">J361*0.6</f>
        <v>115.596</v>
      </c>
      <c r="I361" s="16" t="n">
        <f aca="false">J361*0.4</f>
        <v>77.064</v>
      </c>
      <c r="J361" s="16" t="n">
        <f aca="false">ROUND(E361,2)*(ROUND(G361,2))</f>
        <v>192.66</v>
      </c>
    </row>
    <row r="362" customFormat="false" ht="22.35" hidden="false" customHeight="false" outlineLevel="0" collapsed="false">
      <c r="A362" s="12" t="n">
        <v>88489</v>
      </c>
      <c r="B362" s="21" t="s">
        <v>564</v>
      </c>
      <c r="C362" s="13" t="s">
        <v>219</v>
      </c>
      <c r="D362" s="15" t="s">
        <v>23</v>
      </c>
      <c r="E362" s="15" t="n">
        <f aca="false">E361</f>
        <v>74.1</v>
      </c>
      <c r="F362" s="26" t="n">
        <v>13.85</v>
      </c>
      <c r="G362" s="16" t="n">
        <f aca="false">F362*1.25</f>
        <v>17.3125</v>
      </c>
      <c r="H362" s="16" t="n">
        <f aca="false">J362*0.6</f>
        <v>769.6026</v>
      </c>
      <c r="I362" s="16" t="n">
        <f aca="false">J362*0.4</f>
        <v>513.0684</v>
      </c>
      <c r="J362" s="16" t="n">
        <f aca="false">ROUND(E362,2)*(ROUND(G362,2))</f>
        <v>1282.671</v>
      </c>
    </row>
    <row r="363" customFormat="false" ht="22.35" hidden="false" customHeight="false" outlineLevel="0" collapsed="false">
      <c r="A363" s="12" t="n">
        <v>88484</v>
      </c>
      <c r="B363" s="21" t="s">
        <v>565</v>
      </c>
      <c r="C363" s="13" t="s">
        <v>221</v>
      </c>
      <c r="D363" s="15" t="s">
        <v>23</v>
      </c>
      <c r="E363" s="15" t="n">
        <v>38.18</v>
      </c>
      <c r="F363" s="26" t="n">
        <v>2.44</v>
      </c>
      <c r="G363" s="16" t="n">
        <f aca="false">F363*1.25</f>
        <v>3.05</v>
      </c>
      <c r="H363" s="16" t="n">
        <f aca="false">J363*0.6</f>
        <v>69.8694</v>
      </c>
      <c r="I363" s="16" t="n">
        <f aca="false">J363*0.4</f>
        <v>46.5796</v>
      </c>
      <c r="J363" s="16" t="n">
        <f aca="false">ROUND(E363,2)*(ROUND(G363,2))</f>
        <v>116.449</v>
      </c>
    </row>
    <row r="364" customFormat="false" ht="22.35" hidden="false" customHeight="false" outlineLevel="0" collapsed="false">
      <c r="A364" s="12" t="n">
        <v>88488</v>
      </c>
      <c r="B364" s="21" t="s">
        <v>566</v>
      </c>
      <c r="C364" s="13" t="s">
        <v>223</v>
      </c>
      <c r="D364" s="15" t="s">
        <v>23</v>
      </c>
      <c r="E364" s="15" t="n">
        <v>38.18</v>
      </c>
      <c r="F364" s="26" t="n">
        <v>15.49</v>
      </c>
      <c r="G364" s="16" t="n">
        <f aca="false">F364*1.25</f>
        <v>19.3625</v>
      </c>
      <c r="H364" s="16" t="n">
        <f aca="false">J364*0.6</f>
        <v>443.49888</v>
      </c>
      <c r="I364" s="16" t="n">
        <f aca="false">J364*0.4</f>
        <v>295.66592</v>
      </c>
      <c r="J364" s="16" t="n">
        <f aca="false">ROUND(E364,2)*(ROUND(G364,2))</f>
        <v>739.1648</v>
      </c>
    </row>
    <row r="365" customFormat="false" ht="13.8" hidden="false" customHeight="false" outlineLevel="0" collapsed="false">
      <c r="A365" s="23" t="s">
        <v>567</v>
      </c>
      <c r="B365" s="23"/>
      <c r="C365" s="23"/>
      <c r="D365" s="23"/>
      <c r="E365" s="23"/>
      <c r="F365" s="23"/>
      <c r="G365" s="23"/>
      <c r="H365" s="23"/>
      <c r="I365" s="23"/>
      <c r="J365" s="23"/>
    </row>
    <row r="366" customFormat="false" ht="13.8" hidden="false" customHeight="false" outlineLevel="0" collapsed="false">
      <c r="A366" s="23" t="s">
        <v>568</v>
      </c>
      <c r="B366" s="23"/>
      <c r="C366" s="23"/>
      <c r="D366" s="23"/>
      <c r="E366" s="23"/>
      <c r="F366" s="23"/>
      <c r="G366" s="23"/>
      <c r="H366" s="23"/>
      <c r="I366" s="23"/>
      <c r="J366" s="23"/>
    </row>
    <row r="367" customFormat="false" ht="43.25" hidden="false" customHeight="false" outlineLevel="0" collapsed="false">
      <c r="A367" s="21" t="n">
        <v>92777</v>
      </c>
      <c r="B367" s="13" t="s">
        <v>569</v>
      </c>
      <c r="C367" s="25" t="s">
        <v>106</v>
      </c>
      <c r="D367" s="15" t="s">
        <v>53</v>
      </c>
      <c r="E367" s="15" t="n">
        <f aca="false">(2*5*0.4*2)+(2*1.7*0.4*2)</f>
        <v>10.72</v>
      </c>
      <c r="F367" s="26" t="n">
        <v>18.57</v>
      </c>
      <c r="G367" s="26" t="n">
        <f aca="false">F367*1.25</f>
        <v>23.2125</v>
      </c>
      <c r="H367" s="26" t="n">
        <f aca="false">J367*0.6</f>
        <v>149.28672</v>
      </c>
      <c r="I367" s="26" t="n">
        <f aca="false">J367*0.4</f>
        <v>99.52448</v>
      </c>
      <c r="J367" s="16" t="n">
        <f aca="false">ROUND(E367,2)*(ROUND(G367,2))</f>
        <v>248.8112</v>
      </c>
    </row>
    <row r="368" customFormat="false" ht="43.25" hidden="false" customHeight="false" outlineLevel="0" collapsed="false">
      <c r="A368" s="24" t="n">
        <v>92775</v>
      </c>
      <c r="B368" s="13" t="s">
        <v>570</v>
      </c>
      <c r="C368" s="25" t="s">
        <v>81</v>
      </c>
      <c r="D368" s="15" t="s">
        <v>53</v>
      </c>
      <c r="E368" s="15" t="n">
        <f aca="false">(13.4/0.15)*0.33*0.16</f>
        <v>4.7168</v>
      </c>
      <c r="F368" s="26" t="n">
        <v>20.25</v>
      </c>
      <c r="G368" s="26" t="n">
        <f aca="false">F368*1.25</f>
        <v>25.3125</v>
      </c>
      <c r="H368" s="26" t="n">
        <f aca="false">J368*0.6</f>
        <v>71.67792</v>
      </c>
      <c r="I368" s="26" t="n">
        <f aca="false">J368*0.4</f>
        <v>47.78528</v>
      </c>
      <c r="J368" s="16" t="n">
        <f aca="false">ROUND(E368,2)*(ROUND(G368,2))</f>
        <v>119.4632</v>
      </c>
    </row>
    <row r="369" customFormat="false" ht="30" hidden="false" customHeight="true" outlineLevel="0" collapsed="false">
      <c r="A369" s="24" t="n">
        <v>92265</v>
      </c>
      <c r="B369" s="13" t="s">
        <v>571</v>
      </c>
      <c r="C369" s="25" t="s">
        <v>83</v>
      </c>
      <c r="D369" s="15" t="s">
        <v>23</v>
      </c>
      <c r="E369" s="15" t="n">
        <f aca="false">(0.1*1.7*4)+(0.1*5*4)</f>
        <v>2.68</v>
      </c>
      <c r="F369" s="26" t="n">
        <v>100.31</v>
      </c>
      <c r="G369" s="26" t="n">
        <f aca="false">F369*1.25</f>
        <v>125.3875</v>
      </c>
      <c r="H369" s="26" t="n">
        <f aca="false">J369*0.6</f>
        <v>201.62712</v>
      </c>
      <c r="I369" s="26" t="n">
        <f aca="false">J369*0.4</f>
        <v>134.41808</v>
      </c>
      <c r="J369" s="16" t="n">
        <f aca="false">ROUND(E369,2)*(ROUND(G369,2))</f>
        <v>336.0452</v>
      </c>
    </row>
    <row r="370" customFormat="false" ht="32.8" hidden="false" customHeight="false" outlineLevel="0" collapsed="false">
      <c r="A370" s="24" t="n">
        <v>92723</v>
      </c>
      <c r="B370" s="13" t="s">
        <v>572</v>
      </c>
      <c r="C370" s="25" t="s">
        <v>85</v>
      </c>
      <c r="D370" s="15" t="s">
        <v>41</v>
      </c>
      <c r="E370" s="15" t="n">
        <f aca="false">(0.1*0.1*1.7*2)+(0.1*0.1*5*2)</f>
        <v>0.134</v>
      </c>
      <c r="F370" s="26" t="n">
        <v>460.07</v>
      </c>
      <c r="G370" s="26" t="n">
        <f aca="false">F370*1.25</f>
        <v>575.0875</v>
      </c>
      <c r="H370" s="26" t="n">
        <f aca="false">J370*0.6</f>
        <v>44.85702</v>
      </c>
      <c r="I370" s="26" t="n">
        <f aca="false">J370*0.4</f>
        <v>29.90468</v>
      </c>
      <c r="J370" s="16" t="n">
        <f aca="false">ROUND(E370,2)*(ROUND(G370,2))</f>
        <v>74.7617</v>
      </c>
    </row>
    <row r="371" customFormat="false" ht="13.8" hidden="false" customHeight="false" outlineLevel="0" collapsed="false">
      <c r="A371" s="23" t="s">
        <v>573</v>
      </c>
      <c r="B371" s="23"/>
      <c r="C371" s="23"/>
      <c r="D371" s="23"/>
      <c r="E371" s="23"/>
      <c r="F371" s="23"/>
      <c r="G371" s="23"/>
      <c r="H371" s="23"/>
      <c r="I371" s="23"/>
      <c r="J371" s="23"/>
    </row>
    <row r="372" customFormat="false" ht="43.25" hidden="false" customHeight="false" outlineLevel="0" collapsed="false">
      <c r="A372" s="21" t="n">
        <v>92777</v>
      </c>
      <c r="B372" s="13" t="s">
        <v>574</v>
      </c>
      <c r="C372" s="25" t="s">
        <v>106</v>
      </c>
      <c r="D372" s="15" t="s">
        <v>53</v>
      </c>
      <c r="E372" s="15" t="n">
        <f aca="false">5*7.95*0.4</f>
        <v>15.9</v>
      </c>
      <c r="F372" s="26" t="n">
        <v>18.57</v>
      </c>
      <c r="G372" s="26" t="n">
        <f aca="false">F372*1.25</f>
        <v>23.2125</v>
      </c>
      <c r="H372" s="26" t="n">
        <f aca="false">J372*0.6</f>
        <v>221.4234</v>
      </c>
      <c r="I372" s="26" t="n">
        <f aca="false">J372*0.4</f>
        <v>147.6156</v>
      </c>
      <c r="J372" s="16" t="n">
        <f aca="false">ROUND(E372,2)*(ROUND(G372,2))</f>
        <v>369.039</v>
      </c>
    </row>
    <row r="373" customFormat="false" ht="43.25" hidden="false" customHeight="false" outlineLevel="0" collapsed="false">
      <c r="A373" s="24" t="n">
        <v>92775</v>
      </c>
      <c r="B373" s="13" t="s">
        <v>575</v>
      </c>
      <c r="C373" s="25" t="s">
        <v>81</v>
      </c>
      <c r="D373" s="15" t="s">
        <v>53</v>
      </c>
      <c r="E373" s="15" t="n">
        <f aca="false">(7.95/0.15)*1.13*0.16</f>
        <v>9.5824</v>
      </c>
      <c r="F373" s="26" t="n">
        <v>20.25</v>
      </c>
      <c r="G373" s="26" t="n">
        <f aca="false">F373*1.25</f>
        <v>25.3125</v>
      </c>
      <c r="H373" s="26" t="n">
        <f aca="false">J373*0.6</f>
        <v>145.48188</v>
      </c>
      <c r="I373" s="26" t="n">
        <f aca="false">J373*0.4</f>
        <v>96.98792</v>
      </c>
      <c r="J373" s="16" t="n">
        <f aca="false">ROUND(E373,2)*(ROUND(G373,2))</f>
        <v>242.4698</v>
      </c>
    </row>
    <row r="374" customFormat="false" ht="22.35" hidden="false" customHeight="false" outlineLevel="0" collapsed="false">
      <c r="A374" s="24" t="n">
        <v>92265</v>
      </c>
      <c r="B374" s="13" t="s">
        <v>576</v>
      </c>
      <c r="C374" s="25" t="s">
        <v>83</v>
      </c>
      <c r="D374" s="15" t="s">
        <v>23</v>
      </c>
      <c r="E374" s="15" t="n">
        <f aca="false">(0.1*0.5)+(0.5*7.95)</f>
        <v>4.025</v>
      </c>
      <c r="F374" s="26" t="n">
        <v>100.31</v>
      </c>
      <c r="G374" s="26" t="n">
        <f aca="false">F374*1.25</f>
        <v>125.3875</v>
      </c>
      <c r="H374" s="26" t="n">
        <f aca="false">J374*0.6</f>
        <v>303.19302</v>
      </c>
      <c r="I374" s="26" t="n">
        <f aca="false">J374*0.4</f>
        <v>202.12868</v>
      </c>
      <c r="J374" s="16" t="n">
        <f aca="false">ROUND(E374,2)*(ROUND(G374,2))</f>
        <v>505.3217</v>
      </c>
    </row>
    <row r="375" customFormat="false" ht="32.8" hidden="false" customHeight="false" outlineLevel="0" collapsed="false">
      <c r="A375" s="24" t="n">
        <v>92723</v>
      </c>
      <c r="B375" s="13" t="s">
        <v>577</v>
      </c>
      <c r="C375" s="25" t="s">
        <v>85</v>
      </c>
      <c r="D375" s="15" t="s">
        <v>41</v>
      </c>
      <c r="E375" s="15" t="n">
        <f aca="false">(0.1*0.5*7.95)</f>
        <v>0.3975</v>
      </c>
      <c r="F375" s="26" t="n">
        <v>460.07</v>
      </c>
      <c r="G375" s="26" t="n">
        <f aca="false">F375*1.25</f>
        <v>575.0875</v>
      </c>
      <c r="H375" s="26" t="n">
        <f aca="false">J375*0.6</f>
        <v>138.0216</v>
      </c>
      <c r="I375" s="26" t="n">
        <f aca="false">J375*0.4</f>
        <v>92.0144</v>
      </c>
      <c r="J375" s="16" t="n">
        <f aca="false">ROUND(E375,2)*(ROUND(G375,2))</f>
        <v>230.036</v>
      </c>
    </row>
    <row r="376" customFormat="false" ht="13.8" hidden="false" customHeight="false" outlineLevel="0" collapsed="false">
      <c r="A376" s="18"/>
      <c r="B376" s="18"/>
      <c r="C376" s="18"/>
      <c r="D376" s="18"/>
      <c r="E376" s="18"/>
      <c r="F376" s="18"/>
      <c r="G376" s="18"/>
      <c r="H376" s="18"/>
      <c r="I376" s="19" t="s">
        <v>32</v>
      </c>
      <c r="J376" s="20" t="n">
        <f aca="false">SUM(J329:J375)</f>
        <v>28614.2379</v>
      </c>
    </row>
    <row r="377" customFormat="false" ht="13.8" hidden="false" customHeight="false" outlineLevel="0" collapsed="false">
      <c r="A377" s="11" t="s">
        <v>578</v>
      </c>
      <c r="B377" s="11"/>
      <c r="C377" s="11"/>
      <c r="D377" s="11"/>
      <c r="E377" s="11"/>
      <c r="F377" s="11"/>
      <c r="G377" s="11"/>
      <c r="H377" s="11"/>
      <c r="I377" s="11"/>
      <c r="J377" s="11"/>
    </row>
    <row r="378" customFormat="false" ht="13.8" hidden="false" customHeight="false" outlineLevel="0" collapsed="false">
      <c r="A378" s="23" t="s">
        <v>579</v>
      </c>
      <c r="B378" s="23"/>
      <c r="C378" s="23"/>
      <c r="D378" s="23"/>
      <c r="E378" s="23"/>
      <c r="F378" s="23"/>
      <c r="G378" s="23"/>
      <c r="H378" s="23"/>
      <c r="I378" s="23"/>
      <c r="J378" s="23"/>
    </row>
    <row r="379" customFormat="false" ht="22.35" hidden="false" customHeight="false" outlineLevel="0" collapsed="false">
      <c r="A379" s="12" t="n">
        <v>97633</v>
      </c>
      <c r="B379" s="21" t="s">
        <v>580</v>
      </c>
      <c r="C379" s="13" t="s">
        <v>456</v>
      </c>
      <c r="D379" s="14" t="s">
        <v>23</v>
      </c>
      <c r="E379" s="15" t="n">
        <f aca="false">12.53+12.8</f>
        <v>25.33</v>
      </c>
      <c r="F379" s="26" t="n">
        <v>18.24</v>
      </c>
      <c r="G379" s="16" t="n">
        <f aca="false">F379*1.25</f>
        <v>22.8</v>
      </c>
      <c r="H379" s="16" t="n">
        <f aca="false">J379*0.6</f>
        <v>346.5144</v>
      </c>
      <c r="I379" s="16" t="n">
        <f aca="false">J379*0.4</f>
        <v>231.0096</v>
      </c>
      <c r="J379" s="16" t="n">
        <f aca="false">ROUND(E379,2)*(ROUND(G379,2))</f>
        <v>577.524</v>
      </c>
    </row>
    <row r="380" customFormat="false" ht="22.35" hidden="false" customHeight="false" outlineLevel="0" collapsed="false">
      <c r="A380" s="12" t="n">
        <v>97622</v>
      </c>
      <c r="B380" s="21" t="s">
        <v>581</v>
      </c>
      <c r="C380" s="13" t="s">
        <v>458</v>
      </c>
      <c r="D380" s="14" t="s">
        <v>41</v>
      </c>
      <c r="E380" s="15" t="n">
        <f aca="false">(2.7*2.1*0.15)+(1.35*2.1*2*0.15)+(1.2*2.1*0.15)+(5.45*2.65*0.15)+(1.5*1.5*0.15)</f>
        <v>4.582875</v>
      </c>
      <c r="F380" s="26" t="n">
        <v>46.12</v>
      </c>
      <c r="G380" s="16" t="n">
        <f aca="false">F380*1.25</f>
        <v>57.65</v>
      </c>
      <c r="H380" s="16" t="n">
        <f aca="false">J380*0.6</f>
        <v>158.4222</v>
      </c>
      <c r="I380" s="16" t="n">
        <f aca="false">J380*0.4</f>
        <v>105.6148</v>
      </c>
      <c r="J380" s="16" t="n">
        <f aca="false">ROUND(E380,2)*(ROUND(G380,2))</f>
        <v>264.037</v>
      </c>
    </row>
    <row r="381" customFormat="false" ht="22.35" hidden="false" customHeight="false" outlineLevel="0" collapsed="false">
      <c r="A381" s="12" t="n">
        <v>97644</v>
      </c>
      <c r="B381" s="21" t="s">
        <v>582</v>
      </c>
      <c r="C381" s="13" t="s">
        <v>500</v>
      </c>
      <c r="D381" s="14" t="s">
        <v>23</v>
      </c>
      <c r="E381" s="15" t="n">
        <f aca="false">(1*2.1*2)+(0.7*2.1*2)</f>
        <v>7.14</v>
      </c>
      <c r="F381" s="26" t="n">
        <v>7.41</v>
      </c>
      <c r="G381" s="16" t="n">
        <f aca="false">F381*1.25</f>
        <v>9.2625</v>
      </c>
      <c r="H381" s="16" t="n">
        <f aca="false">J381*0.6</f>
        <v>39.66984</v>
      </c>
      <c r="I381" s="16" t="n">
        <f aca="false">J381*0.4</f>
        <v>26.44656</v>
      </c>
      <c r="J381" s="16" t="n">
        <f aca="false">ROUND(E381,2)*(ROUND(G381,2))</f>
        <v>66.1164</v>
      </c>
    </row>
    <row r="382" customFormat="false" ht="22.35" hidden="false" customHeight="false" outlineLevel="0" collapsed="false">
      <c r="A382" s="12" t="n">
        <v>97663</v>
      </c>
      <c r="B382" s="21" t="s">
        <v>583</v>
      </c>
      <c r="C382" s="13" t="s">
        <v>584</v>
      </c>
      <c r="D382" s="14" t="s">
        <v>27</v>
      </c>
      <c r="E382" s="15" t="n">
        <v>4</v>
      </c>
      <c r="F382" s="26" t="n">
        <v>9.92</v>
      </c>
      <c r="G382" s="16" t="n">
        <f aca="false">F382*1.25</f>
        <v>12.4</v>
      </c>
      <c r="H382" s="16" t="n">
        <f aca="false">J382*0.6</f>
        <v>29.76</v>
      </c>
      <c r="I382" s="16" t="n">
        <f aca="false">J382*0.4</f>
        <v>19.84</v>
      </c>
      <c r="J382" s="16" t="n">
        <f aca="false">ROUND(E382,2)*(ROUND(G382,2))</f>
        <v>49.6</v>
      </c>
    </row>
    <row r="383" customFormat="false" ht="22.35" hidden="false" customHeight="false" outlineLevel="0" collapsed="false">
      <c r="A383" s="12" t="n">
        <v>97628</v>
      </c>
      <c r="B383" s="21" t="s">
        <v>585</v>
      </c>
      <c r="C383" s="13" t="s">
        <v>586</v>
      </c>
      <c r="D383" s="14" t="s">
        <v>41</v>
      </c>
      <c r="E383" s="15" t="n">
        <f aca="false">3.65*0.1</f>
        <v>0.365</v>
      </c>
      <c r="F383" s="26" t="n">
        <v>227.96</v>
      </c>
      <c r="G383" s="16" t="n">
        <f aca="false">F383*1.25</f>
        <v>284.95</v>
      </c>
      <c r="H383" s="16" t="n">
        <f aca="false">J383*0.6</f>
        <v>63.2589</v>
      </c>
      <c r="I383" s="16" t="n">
        <f aca="false">J383*0.4</f>
        <v>42.1726</v>
      </c>
      <c r="J383" s="16" t="n">
        <f aca="false">ROUND(E383,2)*(ROUND(G383,2))</f>
        <v>105.4315</v>
      </c>
    </row>
    <row r="384" customFormat="false" ht="22.35" hidden="false" customHeight="false" outlineLevel="0" collapsed="false">
      <c r="A384" s="12" t="n">
        <v>97645</v>
      </c>
      <c r="B384" s="21" t="s">
        <v>532</v>
      </c>
      <c r="C384" s="13" t="s">
        <v>533</v>
      </c>
      <c r="D384" s="14" t="s">
        <v>23</v>
      </c>
      <c r="E384" s="15" t="n">
        <f aca="false">(1.5*1.5)+(0.6*0.6*2)</f>
        <v>2.97</v>
      </c>
      <c r="F384" s="26" t="n">
        <v>28.58</v>
      </c>
      <c r="G384" s="16" t="n">
        <f aca="false">F384*1.25</f>
        <v>35.725</v>
      </c>
      <c r="H384" s="16" t="n">
        <f aca="false">J384*0.6</f>
        <v>63.67086</v>
      </c>
      <c r="I384" s="16" t="n">
        <f aca="false">J384*0.4</f>
        <v>42.44724</v>
      </c>
      <c r="J384" s="16" t="n">
        <f aca="false">ROUND(E384,2)*(ROUND(G384,2))</f>
        <v>106.1181</v>
      </c>
    </row>
    <row r="385" customFormat="false" ht="13.8" hidden="false" customHeight="false" outlineLevel="0" collapsed="false">
      <c r="A385" s="23" t="s">
        <v>587</v>
      </c>
      <c r="B385" s="23"/>
      <c r="C385" s="23"/>
      <c r="D385" s="23"/>
      <c r="E385" s="23"/>
      <c r="F385" s="23"/>
      <c r="G385" s="23"/>
      <c r="H385" s="23"/>
      <c r="I385" s="23"/>
      <c r="J385" s="23"/>
    </row>
    <row r="386" customFormat="false" ht="53.7" hidden="false" customHeight="false" outlineLevel="0" collapsed="false">
      <c r="A386" s="13" t="n">
        <v>87505</v>
      </c>
      <c r="B386" s="21" t="s">
        <v>472</v>
      </c>
      <c r="C386" s="13" t="s">
        <v>64</v>
      </c>
      <c r="D386" s="14" t="s">
        <v>23</v>
      </c>
      <c r="E386" s="15" t="n">
        <f aca="false">(0.9*2.1)+(0.6*0.6*2)</f>
        <v>2.61</v>
      </c>
      <c r="F386" s="26" t="n">
        <v>69.28</v>
      </c>
      <c r="G386" s="29" t="n">
        <f aca="false">F386*1.25</f>
        <v>86.6</v>
      </c>
      <c r="H386" s="16" t="n">
        <f aca="false">J386*0.6</f>
        <v>135.6156</v>
      </c>
      <c r="I386" s="16" t="n">
        <f aca="false">J386*0.4</f>
        <v>90.4104</v>
      </c>
      <c r="J386" s="16" t="n">
        <f aca="false">ROUND(E386,2)*(ROUND(G386,2))</f>
        <v>226.026</v>
      </c>
    </row>
    <row r="387" customFormat="false" ht="13.8" hidden="false" customHeight="false" outlineLevel="0" collapsed="false">
      <c r="A387" s="23" t="s">
        <v>588</v>
      </c>
      <c r="B387" s="23"/>
      <c r="C387" s="23"/>
      <c r="D387" s="23"/>
      <c r="E387" s="23"/>
      <c r="F387" s="23"/>
      <c r="G387" s="23"/>
      <c r="H387" s="23"/>
      <c r="I387" s="23"/>
      <c r="J387" s="23"/>
    </row>
    <row r="388" customFormat="false" ht="43.25" hidden="false" customHeight="false" outlineLevel="0" collapsed="false">
      <c r="A388" s="13" t="n">
        <v>87879</v>
      </c>
      <c r="B388" s="21" t="s">
        <v>589</v>
      </c>
      <c r="C388" s="13" t="s">
        <v>156</v>
      </c>
      <c r="D388" s="14" t="s">
        <v>23</v>
      </c>
      <c r="E388" s="15" t="n">
        <f aca="false">E386*2</f>
        <v>5.22</v>
      </c>
      <c r="F388" s="26" t="n">
        <v>3.45</v>
      </c>
      <c r="G388" s="16" t="n">
        <f aca="false">F388*1.25</f>
        <v>4.3125</v>
      </c>
      <c r="H388" s="16" t="n">
        <f aca="false">J388*0.6</f>
        <v>13.49892</v>
      </c>
      <c r="I388" s="16" t="n">
        <f aca="false">J388*0.4</f>
        <v>8.99928</v>
      </c>
      <c r="J388" s="16" t="n">
        <f aca="false">ROUND(E388,2)*(ROUND(G388,2))</f>
        <v>22.4982</v>
      </c>
    </row>
    <row r="389" customFormat="false" ht="53.7" hidden="false" customHeight="false" outlineLevel="0" collapsed="false">
      <c r="A389" s="13" t="n">
        <v>87529</v>
      </c>
      <c r="B389" s="21" t="s">
        <v>590</v>
      </c>
      <c r="C389" s="13" t="s">
        <v>158</v>
      </c>
      <c r="D389" s="14" t="s">
        <v>23</v>
      </c>
      <c r="E389" s="15" t="n">
        <f aca="false">E388</f>
        <v>5.22</v>
      </c>
      <c r="F389" s="26" t="n">
        <v>29.01</v>
      </c>
      <c r="G389" s="16" t="n">
        <f aca="false">F389*1.25</f>
        <v>36.2625</v>
      </c>
      <c r="H389" s="16" t="n">
        <f aca="false">J389*0.6</f>
        <v>113.56632</v>
      </c>
      <c r="I389" s="16" t="n">
        <f aca="false">J389*0.4</f>
        <v>75.71088</v>
      </c>
      <c r="J389" s="16" t="n">
        <f aca="false">ROUND(E389,2)*(ROUND(G389,2))</f>
        <v>189.2772</v>
      </c>
    </row>
    <row r="390" customFormat="false" ht="22.35" hidden="false" customHeight="false" outlineLevel="0" collapsed="false">
      <c r="A390" s="13" t="s">
        <v>159</v>
      </c>
      <c r="B390" s="21" t="s">
        <v>591</v>
      </c>
      <c r="C390" s="13" t="s">
        <v>161</v>
      </c>
      <c r="D390" s="14" t="s">
        <v>23</v>
      </c>
      <c r="E390" s="15" t="n">
        <f aca="false">E389</f>
        <v>5.22</v>
      </c>
      <c r="F390" s="26" t="n">
        <v>4.48</v>
      </c>
      <c r="G390" s="16" t="n">
        <f aca="false">F390*1.25</f>
        <v>5.6</v>
      </c>
      <c r="H390" s="16" t="n">
        <f aca="false">J390*0.6</f>
        <v>17.5392</v>
      </c>
      <c r="I390" s="16" t="n">
        <f aca="false">J390*0.4</f>
        <v>11.6928</v>
      </c>
      <c r="J390" s="16" t="n">
        <f aca="false">ROUND(E390,2)*(ROUND(G390,2))</f>
        <v>29.232</v>
      </c>
    </row>
    <row r="391" customFormat="false" ht="22.35" hidden="false" customHeight="false" outlineLevel="0" collapsed="false">
      <c r="A391" s="13" t="n">
        <v>88495</v>
      </c>
      <c r="B391" s="21" t="s">
        <v>592</v>
      </c>
      <c r="C391" s="13" t="s">
        <v>549</v>
      </c>
      <c r="D391" s="14" t="s">
        <v>23</v>
      </c>
      <c r="E391" s="15" t="n">
        <v>10</v>
      </c>
      <c r="F391" s="26" t="n">
        <v>9.76</v>
      </c>
      <c r="G391" s="16" t="n">
        <f aca="false">F391*1.25</f>
        <v>12.2</v>
      </c>
      <c r="H391" s="16" t="n">
        <f aca="false">J391*0.6</f>
        <v>73.2</v>
      </c>
      <c r="I391" s="16" t="n">
        <f aca="false">J391*0.4</f>
        <v>48.8</v>
      </c>
      <c r="J391" s="16" t="n">
        <f aca="false">ROUND(E391,2)*(ROUND(G391,2))</f>
        <v>122</v>
      </c>
    </row>
    <row r="392" customFormat="false" ht="13.8" hidden="false" customHeight="false" outlineLevel="0" collapsed="false">
      <c r="A392" s="13" t="n">
        <v>99803</v>
      </c>
      <c r="B392" s="21" t="s">
        <v>593</v>
      </c>
      <c r="C392" s="13" t="s">
        <v>487</v>
      </c>
      <c r="D392" s="14" t="s">
        <v>23</v>
      </c>
      <c r="E392" s="15" t="n">
        <f aca="false">E394+E396</f>
        <v>84.585</v>
      </c>
      <c r="F392" s="26" t="n">
        <v>1.72</v>
      </c>
      <c r="G392" s="16" t="n">
        <f aca="false">F392*1.25</f>
        <v>2.15</v>
      </c>
      <c r="H392" s="16" t="n">
        <f aca="false">J392*0.6</f>
        <v>109.1211</v>
      </c>
      <c r="I392" s="16" t="n">
        <f aca="false">J392*0.4</f>
        <v>72.7474</v>
      </c>
      <c r="J392" s="16" t="n">
        <f aca="false">ROUND(E392,2)*(ROUND(G392,2))</f>
        <v>181.8685</v>
      </c>
    </row>
    <row r="393" customFormat="false" ht="22.35" hidden="false" customHeight="false" outlineLevel="0" collapsed="false">
      <c r="A393" s="13" t="n">
        <v>102193</v>
      </c>
      <c r="B393" s="21" t="s">
        <v>594</v>
      </c>
      <c r="C393" s="9" t="s">
        <v>213</v>
      </c>
      <c r="D393" s="21" t="s">
        <v>23</v>
      </c>
      <c r="E393" s="29" t="n">
        <f aca="false">E392</f>
        <v>84.585</v>
      </c>
      <c r="F393" s="26" t="n">
        <v>1.52</v>
      </c>
      <c r="G393" s="16" t="n">
        <f aca="false">F393*1.25</f>
        <v>1.9</v>
      </c>
      <c r="H393" s="16" t="n">
        <f aca="false">J393*0.6</f>
        <v>96.4326</v>
      </c>
      <c r="I393" s="16" t="n">
        <f aca="false">J393*0.4</f>
        <v>64.2884</v>
      </c>
      <c r="J393" s="16" t="n">
        <f aca="false">ROUND(E393,2)*(ROUND(G393,2))</f>
        <v>160.721</v>
      </c>
    </row>
    <row r="394" customFormat="false" ht="22.35" hidden="false" customHeight="false" outlineLevel="0" collapsed="false">
      <c r="A394" s="12" t="n">
        <v>88485</v>
      </c>
      <c r="B394" s="21" t="s">
        <v>595</v>
      </c>
      <c r="C394" s="13" t="s">
        <v>217</v>
      </c>
      <c r="D394" s="15" t="s">
        <v>23</v>
      </c>
      <c r="E394" s="15" t="n">
        <f aca="false">(5.45+4.8+5.45+4.8)*2.85</f>
        <v>58.425</v>
      </c>
      <c r="F394" s="26" t="n">
        <v>2.08</v>
      </c>
      <c r="G394" s="16" t="n">
        <f aca="false">F394*1.25</f>
        <v>2.6</v>
      </c>
      <c r="H394" s="16" t="n">
        <f aca="false">J394*0.6</f>
        <v>91.1508</v>
      </c>
      <c r="I394" s="16" t="n">
        <f aca="false">J394*0.4</f>
        <v>60.7672</v>
      </c>
      <c r="J394" s="16" t="n">
        <f aca="false">ROUND(E394,2)*(ROUND(G394,2))</f>
        <v>151.918</v>
      </c>
    </row>
    <row r="395" customFormat="false" ht="22.35" hidden="false" customHeight="false" outlineLevel="0" collapsed="false">
      <c r="A395" s="12" t="n">
        <v>88489</v>
      </c>
      <c r="B395" s="21" t="s">
        <v>596</v>
      </c>
      <c r="C395" s="13" t="s">
        <v>219</v>
      </c>
      <c r="D395" s="15" t="s">
        <v>23</v>
      </c>
      <c r="E395" s="15" t="n">
        <f aca="false">E394</f>
        <v>58.425</v>
      </c>
      <c r="F395" s="26" t="n">
        <v>13.85</v>
      </c>
      <c r="G395" s="16" t="n">
        <f aca="false">F395*1.25</f>
        <v>17.3125</v>
      </c>
      <c r="H395" s="16" t="n">
        <f aca="false">J395*0.6</f>
        <v>606.85398</v>
      </c>
      <c r="I395" s="16" t="n">
        <f aca="false">J395*0.4</f>
        <v>404.56932</v>
      </c>
      <c r="J395" s="16" t="n">
        <f aca="false">ROUND(E395,2)*(ROUND(G395,2))</f>
        <v>1011.4233</v>
      </c>
    </row>
    <row r="396" customFormat="false" ht="22.35" hidden="false" customHeight="false" outlineLevel="0" collapsed="false">
      <c r="A396" s="12" t="n">
        <v>88484</v>
      </c>
      <c r="B396" s="21" t="s">
        <v>597</v>
      </c>
      <c r="C396" s="13" t="s">
        <v>221</v>
      </c>
      <c r="D396" s="15" t="s">
        <v>23</v>
      </c>
      <c r="E396" s="15" t="n">
        <v>26.16</v>
      </c>
      <c r="F396" s="26" t="n">
        <v>2.44</v>
      </c>
      <c r="G396" s="16" t="n">
        <f aca="false">F396*1.25</f>
        <v>3.05</v>
      </c>
      <c r="H396" s="16" t="n">
        <f aca="false">J396*0.6</f>
        <v>47.8728</v>
      </c>
      <c r="I396" s="16" t="n">
        <f aca="false">J396*0.4</f>
        <v>31.9152</v>
      </c>
      <c r="J396" s="16" t="n">
        <f aca="false">ROUND(E396,2)*(ROUND(G396,2))</f>
        <v>79.788</v>
      </c>
    </row>
    <row r="397" customFormat="false" ht="22.35" hidden="false" customHeight="false" outlineLevel="0" collapsed="false">
      <c r="A397" s="12" t="n">
        <v>88488</v>
      </c>
      <c r="B397" s="21" t="s">
        <v>598</v>
      </c>
      <c r="C397" s="13" t="s">
        <v>223</v>
      </c>
      <c r="D397" s="15" t="s">
        <v>23</v>
      </c>
      <c r="E397" s="15" t="n">
        <v>26.16</v>
      </c>
      <c r="F397" s="26" t="n">
        <v>15.49</v>
      </c>
      <c r="G397" s="16" t="n">
        <f aca="false">F397*1.25</f>
        <v>19.3625</v>
      </c>
      <c r="H397" s="16" t="n">
        <f aca="false">J397*0.6</f>
        <v>303.87456</v>
      </c>
      <c r="I397" s="16" t="n">
        <f aca="false">J397*0.4</f>
        <v>202.58304</v>
      </c>
      <c r="J397" s="16" t="n">
        <f aca="false">ROUND(E397,2)*(ROUND(G397,2))</f>
        <v>506.4576</v>
      </c>
    </row>
    <row r="398" customFormat="false" ht="22.35" hidden="false" customHeight="false" outlineLevel="0" collapsed="false">
      <c r="A398" s="13" t="n">
        <v>88476</v>
      </c>
      <c r="B398" s="21" t="s">
        <v>599</v>
      </c>
      <c r="C398" s="13" t="s">
        <v>148</v>
      </c>
      <c r="D398" s="14" t="s">
        <v>23</v>
      </c>
      <c r="E398" s="15" t="n">
        <v>26.16</v>
      </c>
      <c r="F398" s="26" t="n">
        <v>16.59</v>
      </c>
      <c r="G398" s="16" t="n">
        <f aca="false">F398*1.25</f>
        <v>20.7375</v>
      </c>
      <c r="H398" s="16" t="n">
        <f aca="false">J398*0.6</f>
        <v>325.53504</v>
      </c>
      <c r="I398" s="16" t="n">
        <f aca="false">J398*0.4</f>
        <v>217.02336</v>
      </c>
      <c r="J398" s="16" t="n">
        <f aca="false">ROUND(E398,2)*(ROUND(G398,2))</f>
        <v>542.5584</v>
      </c>
    </row>
    <row r="399" customFormat="false" ht="43.25" hidden="false" customHeight="false" outlineLevel="0" collapsed="false">
      <c r="A399" s="13" t="n">
        <v>87260</v>
      </c>
      <c r="B399" s="21" t="s">
        <v>600</v>
      </c>
      <c r="C399" s="13" t="s">
        <v>150</v>
      </c>
      <c r="D399" s="14" t="s">
        <v>23</v>
      </c>
      <c r="E399" s="15" t="n">
        <v>26.16</v>
      </c>
      <c r="F399" s="26" t="n">
        <v>100.37</v>
      </c>
      <c r="G399" s="16" t="n">
        <f aca="false">F399*1.25</f>
        <v>125.4625</v>
      </c>
      <c r="H399" s="16" t="n">
        <f aca="false">J399*0.6</f>
        <v>1969.22016</v>
      </c>
      <c r="I399" s="16" t="n">
        <f aca="false">J399*0.4</f>
        <v>1312.81344</v>
      </c>
      <c r="J399" s="16" t="n">
        <f aca="false">ROUND(E399,2)*(ROUND(G399,2))</f>
        <v>3282.0336</v>
      </c>
    </row>
    <row r="400" customFormat="false" ht="53.7" hidden="false" customHeight="false" outlineLevel="0" collapsed="false">
      <c r="A400" s="13" t="n">
        <v>90791</v>
      </c>
      <c r="B400" s="21" t="s">
        <v>601</v>
      </c>
      <c r="C400" s="13" t="s">
        <v>602</v>
      </c>
      <c r="D400" s="14" t="s">
        <v>27</v>
      </c>
      <c r="E400" s="15" t="n">
        <v>1</v>
      </c>
      <c r="F400" s="26" t="n">
        <v>903</v>
      </c>
      <c r="G400" s="16" t="n">
        <f aca="false">F400*1.25</f>
        <v>1128.75</v>
      </c>
      <c r="H400" s="16" t="n">
        <f aca="false">J400*0.6</f>
        <v>677.25</v>
      </c>
      <c r="I400" s="16" t="n">
        <f aca="false">J400*0.4</f>
        <v>451.5</v>
      </c>
      <c r="J400" s="16" t="n">
        <f aca="false">ROUND(E400,2)*(ROUND(G400,2))</f>
        <v>1128.75</v>
      </c>
    </row>
    <row r="401" customFormat="false" ht="13.8" hidden="false" customHeight="false" outlineLevel="0" collapsed="false">
      <c r="A401" s="23" t="s">
        <v>603</v>
      </c>
      <c r="B401" s="23"/>
      <c r="C401" s="23"/>
      <c r="D401" s="23"/>
      <c r="E401" s="23"/>
      <c r="F401" s="23"/>
      <c r="G401" s="23"/>
      <c r="H401" s="23"/>
      <c r="I401" s="23"/>
      <c r="J401" s="23"/>
    </row>
    <row r="402" customFormat="false" ht="43.25" hidden="false" customHeight="false" outlineLevel="0" collapsed="false">
      <c r="A402" s="21" t="n">
        <v>92777</v>
      </c>
      <c r="B402" s="13" t="s">
        <v>604</v>
      </c>
      <c r="C402" s="25" t="s">
        <v>99</v>
      </c>
      <c r="D402" s="15" t="s">
        <v>53</v>
      </c>
      <c r="E402" s="15" t="n">
        <f aca="false">(6*0.8*0.4)*7</f>
        <v>13.44</v>
      </c>
      <c r="F402" s="26" t="n">
        <v>18.57</v>
      </c>
      <c r="G402" s="26" t="n">
        <f aca="false">F402*1.25</f>
        <v>23.2125</v>
      </c>
      <c r="H402" s="26" t="n">
        <f aca="false">J402*0.6</f>
        <v>187.16544</v>
      </c>
      <c r="I402" s="26" t="n">
        <f aca="false">J402*0.4</f>
        <v>124.77696</v>
      </c>
      <c r="J402" s="16" t="n">
        <f aca="false">ROUND(E402,2)*(ROUND(G402,2))</f>
        <v>311.9424</v>
      </c>
    </row>
    <row r="403" customFormat="false" ht="43.25" hidden="false" customHeight="false" outlineLevel="0" collapsed="false">
      <c r="A403" s="24" t="n">
        <v>92775</v>
      </c>
      <c r="B403" s="13" t="s">
        <v>605</v>
      </c>
      <c r="C403" s="25" t="s">
        <v>72</v>
      </c>
      <c r="D403" s="15" t="s">
        <v>53</v>
      </c>
      <c r="E403" s="15" t="n">
        <f aca="false">((5.6/0.15)*1.33*0.16)</f>
        <v>7.94453333333333</v>
      </c>
      <c r="F403" s="26" t="n">
        <v>20.25</v>
      </c>
      <c r="G403" s="26" t="n">
        <f aca="false">F403*1.25</f>
        <v>25.3125</v>
      </c>
      <c r="H403" s="26" t="n">
        <f aca="false">J403*0.6</f>
        <v>120.57684</v>
      </c>
      <c r="I403" s="26" t="n">
        <f aca="false">J403*0.4</f>
        <v>80.38456</v>
      </c>
      <c r="J403" s="16" t="n">
        <f aca="false">ROUND(E403,2)*(ROUND(G403,2))</f>
        <v>200.9614</v>
      </c>
    </row>
    <row r="404" customFormat="false" ht="32.8" hidden="false" customHeight="false" outlineLevel="0" collapsed="false">
      <c r="A404" s="24" t="n">
        <v>92263</v>
      </c>
      <c r="B404" s="13" t="s">
        <v>606</v>
      </c>
      <c r="C404" s="13" t="s">
        <v>74</v>
      </c>
      <c r="D404" s="15" t="s">
        <v>23</v>
      </c>
      <c r="E404" s="15" t="n">
        <f aca="false">(0.1*0.8*7)+(0.6*0.8*2*7)</f>
        <v>7.28</v>
      </c>
      <c r="F404" s="26" t="n">
        <v>132.15</v>
      </c>
      <c r="G404" s="26" t="n">
        <f aca="false">F404*1.25</f>
        <v>165.1875</v>
      </c>
      <c r="H404" s="26" t="n">
        <f aca="false">J404*0.6</f>
        <v>721.54992</v>
      </c>
      <c r="I404" s="26" t="n">
        <f aca="false">J404*0.4</f>
        <v>481.03328</v>
      </c>
      <c r="J404" s="16" t="n">
        <f aca="false">ROUND(E404,2)*(ROUND(G404,2))</f>
        <v>1202.5832</v>
      </c>
    </row>
    <row r="405" customFormat="false" ht="43.25" hidden="false" customHeight="false" outlineLevel="0" collapsed="false">
      <c r="A405" s="24" t="n">
        <v>92718</v>
      </c>
      <c r="B405" s="13" t="s">
        <v>607</v>
      </c>
      <c r="C405" s="13" t="s">
        <v>608</v>
      </c>
      <c r="D405" s="15" t="s">
        <v>41</v>
      </c>
      <c r="E405" s="15" t="n">
        <f aca="false">(0.1*0.6*0.8)*7</f>
        <v>0.336</v>
      </c>
      <c r="F405" s="26" t="n">
        <v>588.54</v>
      </c>
      <c r="G405" s="26" t="n">
        <f aca="false">F405*1.25</f>
        <v>735.675</v>
      </c>
      <c r="H405" s="26" t="n">
        <f aca="false">J405*0.6</f>
        <v>150.07872</v>
      </c>
      <c r="I405" s="26" t="n">
        <f aca="false">J405*0.4</f>
        <v>100.05248</v>
      </c>
      <c r="J405" s="16" t="n">
        <f aca="false">ROUND(E405,2)*(ROUND(G405,2))</f>
        <v>250.1312</v>
      </c>
    </row>
    <row r="406" customFormat="false" ht="22.35" hidden="false" customHeight="false" outlineLevel="0" collapsed="false">
      <c r="A406" s="24" t="n">
        <v>92268</v>
      </c>
      <c r="B406" s="13" t="s">
        <v>609</v>
      </c>
      <c r="C406" s="13" t="s">
        <v>610</v>
      </c>
      <c r="D406" s="15" t="s">
        <v>23</v>
      </c>
      <c r="E406" s="15" t="n">
        <f aca="false">(2.15*0.1)+(2.15*0.6)+(4.2*0.1)+(4.2*0.6)+(1.35*0.1)+(1.35*0.6)+(4.2*0.1)+(4.2*0.6)</f>
        <v>8.33</v>
      </c>
      <c r="F406" s="26" t="n">
        <v>50.74</v>
      </c>
      <c r="G406" s="26" t="n">
        <f aca="false">F406*1.25</f>
        <v>63.425</v>
      </c>
      <c r="H406" s="26" t="n">
        <f aca="false">J406*0.6</f>
        <v>317.02314</v>
      </c>
      <c r="I406" s="26" t="n">
        <f aca="false">J406*0.4</f>
        <v>211.34876</v>
      </c>
      <c r="J406" s="16" t="n">
        <f aca="false">ROUND(E406,2)*(ROUND(G406,2))</f>
        <v>528.3719</v>
      </c>
    </row>
    <row r="407" customFormat="false" ht="45.5" hidden="false" customHeight="true" outlineLevel="0" collapsed="false">
      <c r="A407" s="24" t="n">
        <v>92786</v>
      </c>
      <c r="B407" s="13" t="s">
        <v>611</v>
      </c>
      <c r="C407" s="13" t="s">
        <v>612</v>
      </c>
      <c r="D407" s="15" t="s">
        <v>53</v>
      </c>
      <c r="E407" s="15" t="n">
        <f aca="false">(5*2.15*0.4)+(5*4.2*0.4)+(5*1.35*0.4)+(5*4.2*0.4)</f>
        <v>23.8</v>
      </c>
      <c r="F407" s="26" t="n">
        <v>17.41</v>
      </c>
      <c r="G407" s="26" t="n">
        <f aca="false">F407*1.25</f>
        <v>21.7625</v>
      </c>
      <c r="H407" s="26" t="n">
        <f aca="false">J407*0.6</f>
        <v>310.7328</v>
      </c>
      <c r="I407" s="26" t="n">
        <f aca="false">J407*0.4</f>
        <v>207.1552</v>
      </c>
      <c r="J407" s="16" t="n">
        <f aca="false">ROUND(E407,2)*(ROUND(G407,2))</f>
        <v>517.888</v>
      </c>
    </row>
    <row r="408" customFormat="false" ht="53.25" hidden="false" customHeight="true" outlineLevel="0" collapsed="false">
      <c r="A408" s="24" t="n">
        <v>92784</v>
      </c>
      <c r="B408" s="13" t="s">
        <v>613</v>
      </c>
      <c r="C408" s="13" t="s">
        <v>614</v>
      </c>
      <c r="D408" s="15" t="s">
        <v>53</v>
      </c>
      <c r="E408" s="15" t="n">
        <f aca="false">((11.9/0.15)*1.33*0.16)</f>
        <v>16.8821333333333</v>
      </c>
      <c r="F408" s="26" t="n">
        <v>18.26</v>
      </c>
      <c r="G408" s="26" t="n">
        <f aca="false">F408*1.25</f>
        <v>22.825</v>
      </c>
      <c r="H408" s="26" t="n">
        <f aca="false">J408*0.6</f>
        <v>231.22224</v>
      </c>
      <c r="I408" s="26" t="n">
        <f aca="false">J408*0.4</f>
        <v>154.14816</v>
      </c>
      <c r="J408" s="16" t="n">
        <f aca="false">ROUND(E408,2)*(ROUND(G408,2))</f>
        <v>385.3704</v>
      </c>
    </row>
    <row r="409" customFormat="false" ht="53.7" hidden="false" customHeight="false" outlineLevel="0" collapsed="false">
      <c r="A409" s="24" t="n">
        <v>90853</v>
      </c>
      <c r="B409" s="13" t="s">
        <v>615</v>
      </c>
      <c r="C409" s="13" t="s">
        <v>616</v>
      </c>
      <c r="D409" s="15" t="s">
        <v>41</v>
      </c>
      <c r="E409" s="15" t="n">
        <f aca="false">(0.1*0.6*2.15)+(0.1*0.6*4.2)+(0.1*0.6*1.35)+(0.1*0.6*4.2)</f>
        <v>0.714</v>
      </c>
      <c r="F409" s="26" t="n">
        <v>505.81</v>
      </c>
      <c r="G409" s="26" t="n">
        <f aca="false">F409*1.25</f>
        <v>632.2625</v>
      </c>
      <c r="H409" s="26" t="n">
        <f aca="false">J409*0.6</f>
        <v>269.34276</v>
      </c>
      <c r="I409" s="26" t="n">
        <f aca="false">J409*0.4</f>
        <v>179.56184</v>
      </c>
      <c r="J409" s="16" t="n">
        <f aca="false">ROUND(E409,2)*(ROUND(G409,2))</f>
        <v>448.9046</v>
      </c>
    </row>
    <row r="410" customFormat="false" ht="43.25" hidden="false" customHeight="false" outlineLevel="0" collapsed="false">
      <c r="A410" s="13" t="n">
        <v>87879</v>
      </c>
      <c r="B410" s="13" t="s">
        <v>617</v>
      </c>
      <c r="C410" s="13" t="s">
        <v>156</v>
      </c>
      <c r="D410" s="14" t="s">
        <v>23</v>
      </c>
      <c r="E410" s="15" t="n">
        <f aca="false">E406</f>
        <v>8.33</v>
      </c>
      <c r="F410" s="26" t="n">
        <v>3.45</v>
      </c>
      <c r="G410" s="26" t="n">
        <f aca="false">F410*1.25</f>
        <v>4.3125</v>
      </c>
      <c r="H410" s="16" t="n">
        <f aca="false">J410*0.6</f>
        <v>21.54138</v>
      </c>
      <c r="I410" s="16" t="n">
        <f aca="false">J410*0.4</f>
        <v>14.36092</v>
      </c>
      <c r="J410" s="16" t="n">
        <f aca="false">ROUND(E410,2)*(ROUND(G410,2))</f>
        <v>35.9023</v>
      </c>
    </row>
    <row r="411" customFormat="false" ht="53.7" hidden="false" customHeight="false" outlineLevel="0" collapsed="false">
      <c r="A411" s="13" t="n">
        <v>87529</v>
      </c>
      <c r="B411" s="13" t="s">
        <v>618</v>
      </c>
      <c r="C411" s="13" t="s">
        <v>158</v>
      </c>
      <c r="D411" s="14" t="s">
        <v>23</v>
      </c>
      <c r="E411" s="15" t="n">
        <f aca="false">E410</f>
        <v>8.33</v>
      </c>
      <c r="F411" s="26" t="n">
        <v>29.01</v>
      </c>
      <c r="G411" s="26" t="n">
        <f aca="false">F411*1.25</f>
        <v>36.2625</v>
      </c>
      <c r="H411" s="16" t="n">
        <f aca="false">J411*0.6</f>
        <v>181.22748</v>
      </c>
      <c r="I411" s="16" t="n">
        <f aca="false">J411*0.4</f>
        <v>120.81832</v>
      </c>
      <c r="J411" s="16" t="n">
        <f aca="false">ROUND(E411,2)*(ROUND(G411,2))</f>
        <v>302.0458</v>
      </c>
    </row>
    <row r="412" customFormat="false" ht="22.35" hidden="false" customHeight="false" outlineLevel="0" collapsed="false">
      <c r="A412" s="13" t="s">
        <v>159</v>
      </c>
      <c r="B412" s="13" t="s">
        <v>619</v>
      </c>
      <c r="C412" s="13" t="s">
        <v>161</v>
      </c>
      <c r="D412" s="14" t="s">
        <v>23</v>
      </c>
      <c r="E412" s="15" t="n">
        <f aca="false">E411</f>
        <v>8.33</v>
      </c>
      <c r="F412" s="26" t="n">
        <v>4.48</v>
      </c>
      <c r="G412" s="26" t="n">
        <f aca="false">F412*1.25</f>
        <v>5.6</v>
      </c>
      <c r="H412" s="16" t="n">
        <f aca="false">J412*0.6</f>
        <v>27.9888</v>
      </c>
      <c r="I412" s="16" t="n">
        <f aca="false">J412*0.4</f>
        <v>18.6592</v>
      </c>
      <c r="J412" s="16" t="n">
        <f aca="false">ROUND(E412,2)*(ROUND(G412,2))</f>
        <v>46.648</v>
      </c>
    </row>
    <row r="413" customFormat="false" ht="22.35" hidden="false" customHeight="false" outlineLevel="0" collapsed="false">
      <c r="A413" s="13" t="n">
        <v>102193</v>
      </c>
      <c r="B413" s="13" t="s">
        <v>620</v>
      </c>
      <c r="C413" s="9" t="s">
        <v>213</v>
      </c>
      <c r="D413" s="21" t="s">
        <v>23</v>
      </c>
      <c r="E413" s="29" t="n">
        <f aca="false">E412</f>
        <v>8.33</v>
      </c>
      <c r="F413" s="26" t="n">
        <v>1.52</v>
      </c>
      <c r="G413" s="26" t="n">
        <f aca="false">F413*1.25</f>
        <v>1.9</v>
      </c>
      <c r="H413" s="16" t="n">
        <f aca="false">J413*0.6</f>
        <v>9.4962</v>
      </c>
      <c r="I413" s="16" t="n">
        <f aca="false">J413*0.4</f>
        <v>6.3308</v>
      </c>
      <c r="J413" s="16" t="n">
        <f aca="false">ROUND(E413,2)*(ROUND(G413,2))</f>
        <v>15.827</v>
      </c>
    </row>
    <row r="414" customFormat="false" ht="22.35" hidden="false" customHeight="false" outlineLevel="0" collapsed="false">
      <c r="A414" s="12" t="n">
        <v>88485</v>
      </c>
      <c r="B414" s="13" t="s">
        <v>621</v>
      </c>
      <c r="C414" s="13" t="s">
        <v>217</v>
      </c>
      <c r="D414" s="15" t="s">
        <v>23</v>
      </c>
      <c r="E414" s="15" t="n">
        <f aca="false">E413</f>
        <v>8.33</v>
      </c>
      <c r="F414" s="26" t="n">
        <v>2.08</v>
      </c>
      <c r="G414" s="26" t="n">
        <f aca="false">F414*1.25</f>
        <v>2.6</v>
      </c>
      <c r="H414" s="16" t="n">
        <f aca="false">J414*0.6</f>
        <v>12.9948</v>
      </c>
      <c r="I414" s="16" t="n">
        <f aca="false">J414*0.4</f>
        <v>8.6632</v>
      </c>
      <c r="J414" s="16" t="n">
        <f aca="false">ROUND(E414,2)*(ROUND(G414,2))</f>
        <v>21.658</v>
      </c>
    </row>
    <row r="415" customFormat="false" ht="22.35" hidden="false" customHeight="false" outlineLevel="0" collapsed="false">
      <c r="A415" s="12" t="n">
        <v>88489</v>
      </c>
      <c r="B415" s="13" t="s">
        <v>622</v>
      </c>
      <c r="C415" s="13" t="s">
        <v>219</v>
      </c>
      <c r="D415" s="15" t="s">
        <v>23</v>
      </c>
      <c r="E415" s="15" t="n">
        <f aca="false">E414</f>
        <v>8.33</v>
      </c>
      <c r="F415" s="26" t="n">
        <v>13.85</v>
      </c>
      <c r="G415" s="26" t="n">
        <f aca="false">F415*1.25</f>
        <v>17.3125</v>
      </c>
      <c r="H415" s="16" t="n">
        <f aca="false">J415*0.6</f>
        <v>86.51538</v>
      </c>
      <c r="I415" s="16" t="n">
        <f aca="false">J415*0.4</f>
        <v>57.67692</v>
      </c>
      <c r="J415" s="16" t="n">
        <f aca="false">ROUND(E415,2)*(ROUND(G415,2))</f>
        <v>144.1923</v>
      </c>
    </row>
    <row r="416" customFormat="false" ht="32.8" hidden="false" customHeight="false" outlineLevel="0" collapsed="false">
      <c r="A416" s="12" t="s">
        <v>248</v>
      </c>
      <c r="B416" s="13" t="s">
        <v>623</v>
      </c>
      <c r="C416" s="13" t="s">
        <v>250</v>
      </c>
      <c r="D416" s="14" t="s">
        <v>23</v>
      </c>
      <c r="E416" s="15" t="n">
        <f aca="false">(2.15*0.6)+(4.2*0.6)</f>
        <v>3.81</v>
      </c>
      <c r="F416" s="26" t="n">
        <v>552.6</v>
      </c>
      <c r="G416" s="26" t="n">
        <f aca="false">F416*1.25</f>
        <v>690.75</v>
      </c>
      <c r="H416" s="16" t="n">
        <f aca="false">J416*0.6</f>
        <v>1579.0545</v>
      </c>
      <c r="I416" s="16" t="n">
        <f aca="false">J416*0.4</f>
        <v>1052.703</v>
      </c>
      <c r="J416" s="16" t="n">
        <f aca="false">ROUND(E416,2)*(ROUND(G416,2))</f>
        <v>2631.7575</v>
      </c>
    </row>
    <row r="417" customFormat="false" ht="32.8" hidden="false" customHeight="false" outlineLevel="0" collapsed="false">
      <c r="A417" s="12" t="n">
        <v>100852</v>
      </c>
      <c r="B417" s="13" t="s">
        <v>624</v>
      </c>
      <c r="C417" s="13" t="s">
        <v>625</v>
      </c>
      <c r="D417" s="14" t="s">
        <v>27</v>
      </c>
      <c r="E417" s="15" t="n">
        <v>2</v>
      </c>
      <c r="F417" s="26" t="n">
        <v>227.82</v>
      </c>
      <c r="G417" s="26" t="n">
        <f aca="false">F417*1.25</f>
        <v>284.775</v>
      </c>
      <c r="H417" s="16" t="n">
        <f aca="false">J417*0.6</f>
        <v>341.736</v>
      </c>
      <c r="I417" s="16" t="n">
        <f aca="false">J417*0.4</f>
        <v>227.824</v>
      </c>
      <c r="J417" s="16" t="n">
        <f aca="false">ROUND(E417,2)*(ROUND(G417,2))</f>
        <v>569.56</v>
      </c>
    </row>
    <row r="418" customFormat="false" ht="32.8" hidden="false" customHeight="false" outlineLevel="0" collapsed="false">
      <c r="A418" s="12" t="n">
        <v>86878</v>
      </c>
      <c r="B418" s="13" t="s">
        <v>626</v>
      </c>
      <c r="C418" s="13" t="s">
        <v>627</v>
      </c>
      <c r="D418" s="14" t="s">
        <v>27</v>
      </c>
      <c r="E418" s="15" t="n">
        <v>2</v>
      </c>
      <c r="F418" s="26" t="n">
        <v>77.2</v>
      </c>
      <c r="G418" s="26" t="n">
        <f aca="false">F418*1.25</f>
        <v>96.5</v>
      </c>
      <c r="H418" s="16" t="n">
        <f aca="false">J418*0.6</f>
        <v>115.8</v>
      </c>
      <c r="I418" s="16" t="n">
        <f aca="false">J418*0.4</f>
        <v>77.2</v>
      </c>
      <c r="J418" s="16" t="n">
        <f aca="false">ROUND(E418,2)*(ROUND(G418,2))</f>
        <v>193</v>
      </c>
    </row>
    <row r="419" customFormat="false" ht="22.35" hidden="false" customHeight="false" outlineLevel="0" collapsed="false">
      <c r="A419" s="12" t="n">
        <v>86884</v>
      </c>
      <c r="B419" s="13" t="s">
        <v>628</v>
      </c>
      <c r="C419" s="13" t="s">
        <v>230</v>
      </c>
      <c r="D419" s="14" t="s">
        <v>27</v>
      </c>
      <c r="E419" s="15" t="n">
        <v>2</v>
      </c>
      <c r="F419" s="26" t="n">
        <v>9.4</v>
      </c>
      <c r="G419" s="26" t="n">
        <f aca="false">F419*1.25</f>
        <v>11.75</v>
      </c>
      <c r="H419" s="16" t="n">
        <f aca="false">J419*0.6</f>
        <v>14.1</v>
      </c>
      <c r="I419" s="16" t="n">
        <f aca="false">J419*0.4</f>
        <v>9.4</v>
      </c>
      <c r="J419" s="16" t="n">
        <f aca="false">ROUND(E419,2)*(ROUND(G419,2))</f>
        <v>23.5</v>
      </c>
    </row>
    <row r="420" customFormat="false" ht="32.8" hidden="false" customHeight="false" outlineLevel="0" collapsed="false">
      <c r="A420" s="12" t="n">
        <v>86910</v>
      </c>
      <c r="B420" s="13" t="s">
        <v>629</v>
      </c>
      <c r="C420" s="13" t="s">
        <v>630</v>
      </c>
      <c r="D420" s="14" t="s">
        <v>27</v>
      </c>
      <c r="E420" s="15" t="n">
        <v>1</v>
      </c>
      <c r="F420" s="26" t="n">
        <v>157.02</v>
      </c>
      <c r="G420" s="26" t="n">
        <f aca="false">F420*1.25</f>
        <v>196.275</v>
      </c>
      <c r="H420" s="16" t="n">
        <f aca="false">J420*0.6</f>
        <v>117.768</v>
      </c>
      <c r="I420" s="16" t="n">
        <f aca="false">J420*0.4</f>
        <v>78.512</v>
      </c>
      <c r="J420" s="16" t="n">
        <f aca="false">ROUND(E420,2)*(ROUND(G420,2))</f>
        <v>196.28</v>
      </c>
    </row>
    <row r="421" customFormat="false" ht="22.35" hidden="false" customHeight="false" outlineLevel="0" collapsed="false">
      <c r="A421" s="12" t="s">
        <v>631</v>
      </c>
      <c r="B421" s="13" t="s">
        <v>632</v>
      </c>
      <c r="C421" s="13" t="s">
        <v>633</v>
      </c>
      <c r="D421" s="14" t="s">
        <v>27</v>
      </c>
      <c r="E421" s="15" t="n">
        <v>1</v>
      </c>
      <c r="F421" s="26" t="n">
        <v>151.57</v>
      </c>
      <c r="G421" s="26" t="n">
        <f aca="false">F421*1.25</f>
        <v>189.4625</v>
      </c>
      <c r="H421" s="16" t="n">
        <f aca="false">J421*0.6</f>
        <v>113.676</v>
      </c>
      <c r="I421" s="16" t="n">
        <f aca="false">J421*0.4</f>
        <v>75.784</v>
      </c>
      <c r="J421" s="16" t="n">
        <f aca="false">ROUND(E421,2)*(ROUND(G421,2))</f>
        <v>189.46</v>
      </c>
    </row>
    <row r="422" customFormat="false" ht="13.8" hidden="false" customHeight="false" outlineLevel="0" collapsed="false">
      <c r="A422" s="18"/>
      <c r="B422" s="18"/>
      <c r="C422" s="18"/>
      <c r="D422" s="18"/>
      <c r="E422" s="18"/>
      <c r="F422" s="18"/>
      <c r="G422" s="18"/>
      <c r="H422" s="18"/>
      <c r="I422" s="19" t="s">
        <v>32</v>
      </c>
      <c r="J422" s="20" t="n">
        <f aca="false">SUM(J379:J421)</f>
        <v>17019.3628</v>
      </c>
    </row>
    <row r="423" customFormat="false" ht="13.8" hidden="false" customHeight="false" outlineLevel="0" collapsed="false">
      <c r="A423" s="11" t="s">
        <v>634</v>
      </c>
      <c r="B423" s="11"/>
      <c r="C423" s="11"/>
      <c r="D423" s="11"/>
      <c r="E423" s="11"/>
      <c r="F423" s="11"/>
      <c r="G423" s="11"/>
      <c r="H423" s="11"/>
      <c r="I423" s="11"/>
      <c r="J423" s="11"/>
    </row>
    <row r="424" customFormat="false" ht="13.8" hidden="false" customHeight="false" outlineLevel="0" collapsed="false">
      <c r="A424" s="23" t="s">
        <v>635</v>
      </c>
      <c r="B424" s="23"/>
      <c r="C424" s="23"/>
      <c r="D424" s="23"/>
      <c r="E424" s="23"/>
      <c r="F424" s="23"/>
      <c r="G424" s="23"/>
      <c r="H424" s="23"/>
      <c r="I424" s="23"/>
      <c r="J424" s="23"/>
    </row>
    <row r="425" customFormat="false" ht="22.35" hidden="false" customHeight="false" outlineLevel="0" collapsed="false">
      <c r="A425" s="12" t="n">
        <v>97633</v>
      </c>
      <c r="B425" s="21" t="s">
        <v>69</v>
      </c>
      <c r="C425" s="13" t="s">
        <v>456</v>
      </c>
      <c r="D425" s="14" t="s">
        <v>23</v>
      </c>
      <c r="E425" s="15" t="n">
        <f aca="false">12.26+(5.45*1.5*2)+(2.25*1.5*2)+(3.3*1.5*2)+(1.35*1.5*2)+(1.2*1.5*4)</f>
        <v>56.51</v>
      </c>
      <c r="F425" s="26" t="n">
        <v>18.24</v>
      </c>
      <c r="G425" s="16" t="n">
        <f aca="false">F425*1.25</f>
        <v>22.8</v>
      </c>
      <c r="H425" s="16" t="n">
        <f aca="false">J425*0.6</f>
        <v>773.0568</v>
      </c>
      <c r="I425" s="16" t="n">
        <f aca="false">J425*0.4</f>
        <v>515.3712</v>
      </c>
      <c r="J425" s="16" t="n">
        <f aca="false">ROUND(E425,2)*(ROUND(G425,2))</f>
        <v>1288.428</v>
      </c>
    </row>
    <row r="426" customFormat="false" ht="22.35" hidden="false" customHeight="false" outlineLevel="0" collapsed="false">
      <c r="A426" s="12" t="n">
        <v>97622</v>
      </c>
      <c r="B426" s="21" t="s">
        <v>71</v>
      </c>
      <c r="C426" s="13" t="s">
        <v>458</v>
      </c>
      <c r="D426" s="14" t="s">
        <v>41</v>
      </c>
      <c r="E426" s="15" t="n">
        <f aca="false">(2.25*2.85*0.15)+(3.3*2.1*0.15)+(1.35*2.1*0.15)+(1.2*2.1*0.15*2)+(1*2.1*0.15*2)</f>
        <v>3.812625</v>
      </c>
      <c r="F426" s="26" t="n">
        <v>46.12</v>
      </c>
      <c r="G426" s="16" t="n">
        <f aca="false">F426*1.25</f>
        <v>57.65</v>
      </c>
      <c r="H426" s="16" t="n">
        <f aca="false">J426*0.6</f>
        <v>131.7879</v>
      </c>
      <c r="I426" s="16" t="n">
        <f aca="false">J426*0.4</f>
        <v>87.8586</v>
      </c>
      <c r="J426" s="16" t="n">
        <f aca="false">ROUND(E426,2)*(ROUND(G426,2))</f>
        <v>219.6465</v>
      </c>
    </row>
    <row r="427" customFormat="false" ht="22.35" hidden="false" customHeight="false" outlineLevel="0" collapsed="false">
      <c r="A427" s="12" t="n">
        <v>97644</v>
      </c>
      <c r="B427" s="21" t="s">
        <v>73</v>
      </c>
      <c r="C427" s="13" t="s">
        <v>500</v>
      </c>
      <c r="D427" s="14" t="s">
        <v>23</v>
      </c>
      <c r="E427" s="15" t="n">
        <f aca="false">(0.9*2.1)+(0.7*2.1*3)</f>
        <v>6.3</v>
      </c>
      <c r="F427" s="26" t="n">
        <v>7.41</v>
      </c>
      <c r="G427" s="16" t="n">
        <f aca="false">F427*1.25</f>
        <v>9.2625</v>
      </c>
      <c r="H427" s="16" t="n">
        <f aca="false">J427*0.6</f>
        <v>35.0028</v>
      </c>
      <c r="I427" s="16" t="n">
        <f aca="false">J427*0.4</f>
        <v>23.3352</v>
      </c>
      <c r="J427" s="16" t="n">
        <f aca="false">ROUND(E427,2)*(ROUND(G427,2))</f>
        <v>58.338</v>
      </c>
    </row>
    <row r="428" customFormat="false" ht="22.35" hidden="false" customHeight="false" outlineLevel="0" collapsed="false">
      <c r="A428" s="12" t="n">
        <v>97663</v>
      </c>
      <c r="B428" s="21" t="s">
        <v>75</v>
      </c>
      <c r="C428" s="13" t="s">
        <v>584</v>
      </c>
      <c r="D428" s="14" t="s">
        <v>27</v>
      </c>
      <c r="E428" s="15" t="n">
        <v>5</v>
      </c>
      <c r="F428" s="26" t="n">
        <v>9.92</v>
      </c>
      <c r="G428" s="16" t="n">
        <f aca="false">F428*1.25</f>
        <v>12.4</v>
      </c>
      <c r="H428" s="16" t="n">
        <f aca="false">J428*0.6</f>
        <v>37.2</v>
      </c>
      <c r="I428" s="16" t="n">
        <f aca="false">J428*0.4</f>
        <v>24.8</v>
      </c>
      <c r="J428" s="16" t="n">
        <f aca="false">ROUND(E428,2)*(ROUND(G428,2))</f>
        <v>62</v>
      </c>
    </row>
    <row r="429" customFormat="false" ht="22.35" hidden="false" customHeight="false" outlineLevel="0" collapsed="false">
      <c r="A429" s="12" t="n">
        <v>97628</v>
      </c>
      <c r="B429" s="21" t="s">
        <v>636</v>
      </c>
      <c r="C429" s="13" t="s">
        <v>586</v>
      </c>
      <c r="D429" s="14" t="s">
        <v>41</v>
      </c>
      <c r="E429" s="15" t="n">
        <f aca="false">4.46*0.1</f>
        <v>0.446</v>
      </c>
      <c r="F429" s="26" t="n">
        <v>227.96</v>
      </c>
      <c r="G429" s="16" t="n">
        <f aca="false">F429*1.25</f>
        <v>284.95</v>
      </c>
      <c r="H429" s="16" t="n">
        <f aca="false">J429*0.6</f>
        <v>76.9365</v>
      </c>
      <c r="I429" s="16" t="n">
        <f aca="false">J429*0.4</f>
        <v>51.291</v>
      </c>
      <c r="J429" s="16" t="n">
        <f aca="false">ROUND(E429,2)*(ROUND(G429,2))</f>
        <v>128.2275</v>
      </c>
    </row>
    <row r="430" customFormat="false" ht="13.8" hidden="false" customHeight="false" outlineLevel="0" collapsed="false">
      <c r="A430" s="23" t="s">
        <v>637</v>
      </c>
      <c r="B430" s="23"/>
      <c r="C430" s="23"/>
      <c r="D430" s="23"/>
      <c r="E430" s="23"/>
      <c r="F430" s="23"/>
      <c r="G430" s="23"/>
      <c r="H430" s="23"/>
      <c r="I430" s="23"/>
      <c r="J430" s="23"/>
    </row>
    <row r="431" customFormat="false" ht="53.7" hidden="false" customHeight="false" outlineLevel="0" collapsed="false">
      <c r="A431" s="13" t="n">
        <v>87505</v>
      </c>
      <c r="B431" s="21" t="s">
        <v>78</v>
      </c>
      <c r="C431" s="13" t="s">
        <v>64</v>
      </c>
      <c r="D431" s="14" t="s">
        <v>23</v>
      </c>
      <c r="E431" s="15" t="n">
        <f aca="false">0.9*2.15</f>
        <v>1.935</v>
      </c>
      <c r="F431" s="26" t="n">
        <v>69.28</v>
      </c>
      <c r="G431" s="29" t="n">
        <f aca="false">F431*1.25</f>
        <v>86.6</v>
      </c>
      <c r="H431" s="16" t="n">
        <f aca="false">J431*0.6</f>
        <v>100.8024</v>
      </c>
      <c r="I431" s="16" t="n">
        <f aca="false">J431*0.4</f>
        <v>67.2016</v>
      </c>
      <c r="J431" s="16" t="n">
        <f aca="false">ROUND(E431,2)*(ROUND(G431,2))</f>
        <v>168.004</v>
      </c>
    </row>
    <row r="432" customFormat="false" ht="13.8" hidden="false" customHeight="false" outlineLevel="0" collapsed="false">
      <c r="A432" s="23" t="s">
        <v>638</v>
      </c>
      <c r="B432" s="23"/>
      <c r="C432" s="23"/>
      <c r="D432" s="23"/>
      <c r="E432" s="23"/>
      <c r="F432" s="23"/>
      <c r="G432" s="23"/>
      <c r="H432" s="23"/>
      <c r="I432" s="23"/>
      <c r="J432" s="23"/>
    </row>
    <row r="433" customFormat="false" ht="43.25" hidden="false" customHeight="false" outlineLevel="0" collapsed="false">
      <c r="A433" s="13" t="n">
        <v>87879</v>
      </c>
      <c r="B433" s="21" t="s">
        <v>87</v>
      </c>
      <c r="C433" s="13" t="s">
        <v>156</v>
      </c>
      <c r="D433" s="14" t="s">
        <v>23</v>
      </c>
      <c r="E433" s="15" t="n">
        <f aca="false">E431*2</f>
        <v>3.87</v>
      </c>
      <c r="F433" s="26" t="n">
        <v>3.45</v>
      </c>
      <c r="G433" s="16" t="n">
        <f aca="false">F433*1.25</f>
        <v>4.3125</v>
      </c>
      <c r="H433" s="16" t="n">
        <f aca="false">J433*0.6</f>
        <v>10.00782</v>
      </c>
      <c r="I433" s="16" t="n">
        <f aca="false">J433*0.4</f>
        <v>6.67188</v>
      </c>
      <c r="J433" s="16" t="n">
        <f aca="false">ROUND(E433,2)*(ROUND(G433,2))</f>
        <v>16.6797</v>
      </c>
    </row>
    <row r="434" customFormat="false" ht="53.7" hidden="false" customHeight="false" outlineLevel="0" collapsed="false">
      <c r="A434" s="13" t="n">
        <v>87529</v>
      </c>
      <c r="B434" s="21" t="s">
        <v>639</v>
      </c>
      <c r="C434" s="13" t="s">
        <v>158</v>
      </c>
      <c r="D434" s="14" t="s">
        <v>23</v>
      </c>
      <c r="E434" s="15" t="n">
        <f aca="false">E433</f>
        <v>3.87</v>
      </c>
      <c r="F434" s="26" t="n">
        <v>29.01</v>
      </c>
      <c r="G434" s="16" t="n">
        <f aca="false">F434*1.25</f>
        <v>36.2625</v>
      </c>
      <c r="H434" s="16" t="n">
        <f aca="false">J434*0.6</f>
        <v>84.19572</v>
      </c>
      <c r="I434" s="16" t="n">
        <f aca="false">J434*0.4</f>
        <v>56.13048</v>
      </c>
      <c r="J434" s="16" t="n">
        <f aca="false">ROUND(E434,2)*(ROUND(G434,2))</f>
        <v>140.3262</v>
      </c>
    </row>
    <row r="435" customFormat="false" ht="22.35" hidden="false" customHeight="false" outlineLevel="0" collapsed="false">
      <c r="A435" s="13" t="s">
        <v>159</v>
      </c>
      <c r="B435" s="21" t="s">
        <v>640</v>
      </c>
      <c r="C435" s="13" t="s">
        <v>161</v>
      </c>
      <c r="D435" s="14" t="s">
        <v>23</v>
      </c>
      <c r="E435" s="15" t="n">
        <f aca="false">E434</f>
        <v>3.87</v>
      </c>
      <c r="F435" s="26" t="n">
        <v>4.48</v>
      </c>
      <c r="G435" s="16" t="n">
        <f aca="false">F435*1.25</f>
        <v>5.6</v>
      </c>
      <c r="H435" s="16" t="n">
        <f aca="false">J435*0.6</f>
        <v>13.0032</v>
      </c>
      <c r="I435" s="16" t="n">
        <f aca="false">J435*0.4</f>
        <v>8.6688</v>
      </c>
      <c r="J435" s="16" t="n">
        <f aca="false">ROUND(E435,2)*(ROUND(G435,2))</f>
        <v>21.672</v>
      </c>
    </row>
    <row r="436" customFormat="false" ht="22.35" hidden="false" customHeight="false" outlineLevel="0" collapsed="false">
      <c r="A436" s="13" t="n">
        <v>88495</v>
      </c>
      <c r="B436" s="21" t="s">
        <v>641</v>
      </c>
      <c r="C436" s="13" t="s">
        <v>549</v>
      </c>
      <c r="D436" s="14" t="s">
        <v>23</v>
      </c>
      <c r="E436" s="15" t="n">
        <f aca="false">E435</f>
        <v>3.87</v>
      </c>
      <c r="F436" s="26" t="n">
        <v>9.76</v>
      </c>
      <c r="G436" s="16" t="n">
        <f aca="false">F436*1.25</f>
        <v>12.2</v>
      </c>
      <c r="H436" s="16" t="n">
        <f aca="false">J436*0.6</f>
        <v>28.3284</v>
      </c>
      <c r="I436" s="16" t="n">
        <f aca="false">J436*0.4</f>
        <v>18.8856</v>
      </c>
      <c r="J436" s="16" t="n">
        <f aca="false">ROUND(E436,2)*(ROUND(G436,2))</f>
        <v>47.214</v>
      </c>
    </row>
    <row r="437" customFormat="false" ht="13.8" hidden="false" customHeight="false" outlineLevel="0" collapsed="false">
      <c r="A437" s="13" t="n">
        <v>99803</v>
      </c>
      <c r="B437" s="21" t="s">
        <v>642</v>
      </c>
      <c r="C437" s="13" t="s">
        <v>487</v>
      </c>
      <c r="D437" s="14" t="s">
        <v>23</v>
      </c>
      <c r="E437" s="15" t="n">
        <f aca="false">E439+E441</f>
        <v>56.15</v>
      </c>
      <c r="F437" s="26" t="n">
        <v>1.72</v>
      </c>
      <c r="G437" s="16" t="n">
        <f aca="false">F437*1.25</f>
        <v>2.15</v>
      </c>
      <c r="H437" s="16" t="n">
        <f aca="false">J437*0.6</f>
        <v>72.4335</v>
      </c>
      <c r="I437" s="16" t="n">
        <f aca="false">J437*0.4</f>
        <v>48.289</v>
      </c>
      <c r="J437" s="16" t="n">
        <f aca="false">ROUND(E437,2)*(ROUND(G437,2))</f>
        <v>120.7225</v>
      </c>
    </row>
    <row r="438" customFormat="false" ht="22.35" hidden="false" customHeight="false" outlineLevel="0" collapsed="false">
      <c r="A438" s="13" t="n">
        <v>102193</v>
      </c>
      <c r="B438" s="21" t="s">
        <v>643</v>
      </c>
      <c r="C438" s="9" t="s">
        <v>213</v>
      </c>
      <c r="D438" s="21" t="s">
        <v>23</v>
      </c>
      <c r="E438" s="29" t="n">
        <f aca="false">E437</f>
        <v>56.15</v>
      </c>
      <c r="F438" s="26" t="n">
        <v>1.52</v>
      </c>
      <c r="G438" s="16" t="n">
        <f aca="false">F438*1.25</f>
        <v>1.9</v>
      </c>
      <c r="H438" s="16" t="n">
        <f aca="false">J438*0.6</f>
        <v>64.011</v>
      </c>
      <c r="I438" s="16" t="n">
        <f aca="false">J438*0.4</f>
        <v>42.674</v>
      </c>
      <c r="J438" s="16" t="n">
        <f aca="false">ROUND(E438,2)*(ROUND(G438,2))</f>
        <v>106.685</v>
      </c>
    </row>
    <row r="439" customFormat="false" ht="22.35" hidden="false" customHeight="false" outlineLevel="0" collapsed="false">
      <c r="A439" s="12" t="n">
        <v>88485</v>
      </c>
      <c r="B439" s="21" t="s">
        <v>644</v>
      </c>
      <c r="C439" s="13" t="s">
        <v>217</v>
      </c>
      <c r="D439" s="15" t="s">
        <v>23</v>
      </c>
      <c r="E439" s="15" t="n">
        <f aca="false">(5.45+2.25+5.45+2.25)*2.85</f>
        <v>43.89</v>
      </c>
      <c r="F439" s="26" t="n">
        <v>2.08</v>
      </c>
      <c r="G439" s="16" t="n">
        <f aca="false">F439*1.25</f>
        <v>2.6</v>
      </c>
      <c r="H439" s="16" t="n">
        <f aca="false">J439*0.6</f>
        <v>68.4684</v>
      </c>
      <c r="I439" s="16" t="n">
        <f aca="false">J439*0.4</f>
        <v>45.6456</v>
      </c>
      <c r="J439" s="16" t="n">
        <f aca="false">ROUND(E439,2)*(ROUND(G439,2))</f>
        <v>114.114</v>
      </c>
    </row>
    <row r="440" customFormat="false" ht="22.35" hidden="false" customHeight="false" outlineLevel="0" collapsed="false">
      <c r="A440" s="12" t="n">
        <v>88489</v>
      </c>
      <c r="B440" s="21" t="s">
        <v>645</v>
      </c>
      <c r="C440" s="13" t="s">
        <v>219</v>
      </c>
      <c r="D440" s="15" t="s">
        <v>23</v>
      </c>
      <c r="E440" s="15" t="n">
        <f aca="false">E439</f>
        <v>43.89</v>
      </c>
      <c r="F440" s="26" t="n">
        <v>13.85</v>
      </c>
      <c r="G440" s="16" t="n">
        <f aca="false">F440*1.25</f>
        <v>17.3125</v>
      </c>
      <c r="H440" s="16" t="n">
        <f aca="false">J440*0.6</f>
        <v>455.84154</v>
      </c>
      <c r="I440" s="16" t="n">
        <f aca="false">J440*0.4</f>
        <v>303.89436</v>
      </c>
      <c r="J440" s="16" t="n">
        <f aca="false">ROUND(E440,2)*(ROUND(G440,2))</f>
        <v>759.7359</v>
      </c>
    </row>
    <row r="441" customFormat="false" ht="22.35" hidden="false" customHeight="false" outlineLevel="0" collapsed="false">
      <c r="A441" s="12" t="n">
        <v>88484</v>
      </c>
      <c r="B441" s="21" t="s">
        <v>646</v>
      </c>
      <c r="C441" s="13" t="s">
        <v>221</v>
      </c>
      <c r="D441" s="15" t="s">
        <v>23</v>
      </c>
      <c r="E441" s="15" t="n">
        <v>12.26</v>
      </c>
      <c r="F441" s="26" t="n">
        <v>2.44</v>
      </c>
      <c r="G441" s="16" t="n">
        <f aca="false">F441*1.25</f>
        <v>3.05</v>
      </c>
      <c r="H441" s="16" t="n">
        <f aca="false">J441*0.6</f>
        <v>22.4358</v>
      </c>
      <c r="I441" s="16" t="n">
        <f aca="false">J441*0.4</f>
        <v>14.9572</v>
      </c>
      <c r="J441" s="16" t="n">
        <f aca="false">ROUND(E441,2)*(ROUND(G441,2))</f>
        <v>37.393</v>
      </c>
    </row>
    <row r="442" customFormat="false" ht="22.35" hidden="false" customHeight="false" outlineLevel="0" collapsed="false">
      <c r="A442" s="12" t="n">
        <v>88488</v>
      </c>
      <c r="B442" s="21" t="s">
        <v>647</v>
      </c>
      <c r="C442" s="13" t="s">
        <v>223</v>
      </c>
      <c r="D442" s="15" t="s">
        <v>23</v>
      </c>
      <c r="E442" s="15" t="n">
        <f aca="false">E441</f>
        <v>12.26</v>
      </c>
      <c r="F442" s="26" t="n">
        <v>15.49</v>
      </c>
      <c r="G442" s="16" t="n">
        <f aca="false">F442*1.25</f>
        <v>19.3625</v>
      </c>
      <c r="H442" s="16" t="n">
        <f aca="false">J442*0.6</f>
        <v>142.41216</v>
      </c>
      <c r="I442" s="16" t="n">
        <f aca="false">J442*0.4</f>
        <v>94.94144</v>
      </c>
      <c r="J442" s="16" t="n">
        <f aca="false">ROUND(E442,2)*(ROUND(G442,2))</f>
        <v>237.3536</v>
      </c>
    </row>
    <row r="443" customFormat="false" ht="22.35" hidden="false" customHeight="false" outlineLevel="0" collapsed="false">
      <c r="A443" s="13" t="n">
        <v>88476</v>
      </c>
      <c r="B443" s="21" t="s">
        <v>648</v>
      </c>
      <c r="C443" s="13" t="s">
        <v>148</v>
      </c>
      <c r="D443" s="14" t="s">
        <v>23</v>
      </c>
      <c r="E443" s="15" t="n">
        <f aca="false">E441</f>
        <v>12.26</v>
      </c>
      <c r="F443" s="26" t="n">
        <v>16.59</v>
      </c>
      <c r="G443" s="16" t="n">
        <f aca="false">F443*1.25</f>
        <v>20.7375</v>
      </c>
      <c r="H443" s="16" t="n">
        <f aca="false">J443*0.6</f>
        <v>152.56344</v>
      </c>
      <c r="I443" s="16" t="n">
        <f aca="false">J443*0.4</f>
        <v>101.70896</v>
      </c>
      <c r="J443" s="16" t="n">
        <f aca="false">ROUND(E443,2)*(ROUND(G443,2))</f>
        <v>254.2724</v>
      </c>
    </row>
    <row r="444" customFormat="false" ht="43.25" hidden="false" customHeight="false" outlineLevel="0" collapsed="false">
      <c r="A444" s="13" t="n">
        <v>87260</v>
      </c>
      <c r="B444" s="21" t="s">
        <v>649</v>
      </c>
      <c r="C444" s="13" t="s">
        <v>150</v>
      </c>
      <c r="D444" s="14" t="s">
        <v>23</v>
      </c>
      <c r="E444" s="15" t="n">
        <f aca="false">E441</f>
        <v>12.26</v>
      </c>
      <c r="F444" s="26" t="n">
        <v>100.37</v>
      </c>
      <c r="G444" s="16" t="n">
        <f aca="false">F444*1.25</f>
        <v>125.4625</v>
      </c>
      <c r="H444" s="16" t="n">
        <f aca="false">J444*0.6</f>
        <v>922.88376</v>
      </c>
      <c r="I444" s="16" t="n">
        <f aca="false">J444*0.4</f>
        <v>615.25584</v>
      </c>
      <c r="J444" s="16" t="n">
        <f aca="false">ROUND(E444,2)*(ROUND(G444,2))</f>
        <v>1538.1396</v>
      </c>
    </row>
    <row r="445" customFormat="false" ht="53.7" hidden="false" customHeight="false" outlineLevel="0" collapsed="false">
      <c r="A445" s="13" t="n">
        <v>90793</v>
      </c>
      <c r="B445" s="21" t="s">
        <v>650</v>
      </c>
      <c r="C445" s="13" t="s">
        <v>193</v>
      </c>
      <c r="D445" s="14" t="s">
        <v>27</v>
      </c>
      <c r="E445" s="15" t="n">
        <v>1</v>
      </c>
      <c r="F445" s="26" t="n">
        <v>953.59</v>
      </c>
      <c r="G445" s="16" t="n">
        <f aca="false">F445*1.25</f>
        <v>1191.9875</v>
      </c>
      <c r="H445" s="16" t="n">
        <f aca="false">J445*0.6</f>
        <v>715.194</v>
      </c>
      <c r="I445" s="16" t="n">
        <f aca="false">J445*0.4</f>
        <v>476.796</v>
      </c>
      <c r="J445" s="16" t="n">
        <f aca="false">ROUND(E445,2)*(ROUND(G445,2))</f>
        <v>1191.99</v>
      </c>
    </row>
    <row r="446" customFormat="false" ht="22.35" hidden="false" customHeight="false" outlineLevel="0" collapsed="false">
      <c r="A446" s="13" t="n">
        <v>100701</v>
      </c>
      <c r="B446" s="21" t="s">
        <v>651</v>
      </c>
      <c r="C446" s="13" t="s">
        <v>652</v>
      </c>
      <c r="D446" s="14" t="s">
        <v>23</v>
      </c>
      <c r="E446" s="15" t="n">
        <f aca="false">0.9*2.1</f>
        <v>1.89</v>
      </c>
      <c r="F446" s="26" t="n">
        <v>448.17</v>
      </c>
      <c r="G446" s="16" t="n">
        <f aca="false">F446*1.25</f>
        <v>560.2125</v>
      </c>
      <c r="H446" s="16" t="n">
        <f aca="false">J446*0.6</f>
        <v>635.27814</v>
      </c>
      <c r="I446" s="16" t="n">
        <f aca="false">J446*0.4</f>
        <v>423.51876</v>
      </c>
      <c r="J446" s="16" t="n">
        <f aca="false">ROUND(E446,2)*(ROUND(G446,2))</f>
        <v>1058.7969</v>
      </c>
    </row>
    <row r="447" customFormat="false" ht="13.8" hidden="false" customHeight="false" outlineLevel="0" collapsed="false">
      <c r="A447" s="18"/>
      <c r="B447" s="18"/>
      <c r="C447" s="18"/>
      <c r="D447" s="18"/>
      <c r="E447" s="18"/>
      <c r="F447" s="18"/>
      <c r="G447" s="18"/>
      <c r="H447" s="18"/>
      <c r="I447" s="19" t="s">
        <v>32</v>
      </c>
      <c r="J447" s="20" t="n">
        <f aca="false">SUM(J425:J446)</f>
        <v>7569.7388</v>
      </c>
    </row>
    <row r="448" customFormat="false" ht="13.8" hidden="false" customHeight="false" outlineLevel="0" collapsed="false">
      <c r="A448" s="11" t="s">
        <v>653</v>
      </c>
      <c r="B448" s="11"/>
      <c r="C448" s="11"/>
      <c r="D448" s="11"/>
      <c r="E448" s="11"/>
      <c r="F448" s="11"/>
      <c r="G448" s="11"/>
      <c r="H448" s="11"/>
      <c r="I448" s="11"/>
      <c r="J448" s="11"/>
    </row>
    <row r="449" customFormat="false" ht="13.8" hidden="false" customHeight="false" outlineLevel="0" collapsed="false">
      <c r="A449" s="23" t="s">
        <v>654</v>
      </c>
      <c r="B449" s="23"/>
      <c r="C449" s="23"/>
      <c r="D449" s="23"/>
      <c r="E449" s="23"/>
      <c r="F449" s="23"/>
      <c r="G449" s="23"/>
      <c r="H449" s="23"/>
      <c r="I449" s="23"/>
      <c r="J449" s="23"/>
    </row>
    <row r="450" customFormat="false" ht="22.35" hidden="false" customHeight="false" outlineLevel="0" collapsed="false">
      <c r="A450" s="12" t="n">
        <v>97633</v>
      </c>
      <c r="B450" s="21" t="s">
        <v>655</v>
      </c>
      <c r="C450" s="13" t="s">
        <v>456</v>
      </c>
      <c r="D450" s="14" t="s">
        <v>23</v>
      </c>
      <c r="E450" s="15" t="n">
        <v>2.65</v>
      </c>
      <c r="F450" s="26" t="n">
        <v>18.24</v>
      </c>
      <c r="G450" s="16" t="n">
        <f aca="false">F450*1.25</f>
        <v>22.8</v>
      </c>
      <c r="H450" s="16" t="n">
        <f aca="false">J450*0.6</f>
        <v>36.252</v>
      </c>
      <c r="I450" s="16" t="n">
        <f aca="false">J450*0.4</f>
        <v>24.168</v>
      </c>
      <c r="J450" s="16" t="n">
        <f aca="false">ROUND(E450,2)*(ROUND(G450,2))</f>
        <v>60.42</v>
      </c>
    </row>
    <row r="451" customFormat="false" ht="32.8" hidden="false" customHeight="false" outlineLevel="0" collapsed="false">
      <c r="A451" s="13" t="n">
        <v>90444</v>
      </c>
      <c r="B451" s="21" t="s">
        <v>656</v>
      </c>
      <c r="C451" s="13" t="s">
        <v>657</v>
      </c>
      <c r="D451" s="14" t="s">
        <v>38</v>
      </c>
      <c r="E451" s="15" t="n">
        <v>1</v>
      </c>
      <c r="F451" s="26" t="n">
        <v>24.87</v>
      </c>
      <c r="G451" s="16" t="n">
        <f aca="false">F451*1.25</f>
        <v>31.0875</v>
      </c>
      <c r="H451" s="16" t="n">
        <f aca="false">J451*0.6</f>
        <v>18.654</v>
      </c>
      <c r="I451" s="16" t="n">
        <f aca="false">J451*0.4</f>
        <v>12.436</v>
      </c>
      <c r="J451" s="16" t="n">
        <f aca="false">ROUND(E451,2)*(ROUND(G451,2))</f>
        <v>31.09</v>
      </c>
    </row>
    <row r="452" customFormat="false" ht="32.8" hidden="false" customHeight="false" outlineLevel="0" collapsed="false">
      <c r="A452" s="13" t="n">
        <v>90446</v>
      </c>
      <c r="B452" s="21" t="s">
        <v>658</v>
      </c>
      <c r="C452" s="13" t="s">
        <v>659</v>
      </c>
      <c r="D452" s="14" t="s">
        <v>38</v>
      </c>
      <c r="E452" s="15" t="n">
        <v>5</v>
      </c>
      <c r="F452" s="26" t="n">
        <v>28.84</v>
      </c>
      <c r="G452" s="16" t="n">
        <f aca="false">F452*1.25</f>
        <v>36.05</v>
      </c>
      <c r="H452" s="16" t="n">
        <f aca="false">J452*0.6</f>
        <v>108.15</v>
      </c>
      <c r="I452" s="16" t="n">
        <f aca="false">J452*0.4</f>
        <v>72.1</v>
      </c>
      <c r="J452" s="16" t="n">
        <f aca="false">ROUND(E452,2)*(ROUND(G452,2))</f>
        <v>180.25</v>
      </c>
    </row>
    <row r="453" customFormat="false" ht="22.35" hidden="false" customHeight="false" outlineLevel="0" collapsed="false">
      <c r="A453" s="12" t="n">
        <v>97622</v>
      </c>
      <c r="B453" s="21" t="s">
        <v>660</v>
      </c>
      <c r="C453" s="13" t="s">
        <v>458</v>
      </c>
      <c r="D453" s="14" t="s">
        <v>41</v>
      </c>
      <c r="E453" s="15" t="n">
        <f aca="false">0.6*0.6*0.15</f>
        <v>0.054</v>
      </c>
      <c r="F453" s="26" t="n">
        <v>46.12</v>
      </c>
      <c r="G453" s="16" t="n">
        <f aca="false">F453*1.25</f>
        <v>57.65</v>
      </c>
      <c r="H453" s="16" t="n">
        <f aca="false">J453*0.6</f>
        <v>1.7295</v>
      </c>
      <c r="I453" s="16" t="n">
        <f aca="false">J453*0.4</f>
        <v>1.153</v>
      </c>
      <c r="J453" s="16" t="n">
        <f aca="false">ROUND(E453,2)*(ROUND(G453,2))</f>
        <v>2.8825</v>
      </c>
    </row>
    <row r="454" customFormat="false" ht="13.8" hidden="false" customHeight="false" outlineLevel="0" collapsed="false">
      <c r="A454" s="23" t="s">
        <v>661</v>
      </c>
      <c r="B454" s="23"/>
      <c r="C454" s="23"/>
      <c r="D454" s="23"/>
      <c r="E454" s="23"/>
      <c r="F454" s="23"/>
      <c r="G454" s="23"/>
      <c r="H454" s="23"/>
      <c r="I454" s="23"/>
      <c r="J454" s="23"/>
    </row>
    <row r="455" customFormat="false" ht="22.35" hidden="false" customHeight="false" outlineLevel="0" collapsed="false">
      <c r="A455" s="12" t="n">
        <v>97628</v>
      </c>
      <c r="B455" s="21" t="s">
        <v>662</v>
      </c>
      <c r="C455" s="13" t="s">
        <v>586</v>
      </c>
      <c r="D455" s="14" t="s">
        <v>41</v>
      </c>
      <c r="E455" s="15" t="n">
        <f aca="false">0.15*0.1*2.05</f>
        <v>0.03075</v>
      </c>
      <c r="F455" s="26" t="n">
        <v>227.96</v>
      </c>
      <c r="G455" s="16" t="n">
        <f aca="false">F455*1.25</f>
        <v>284.95</v>
      </c>
      <c r="H455" s="16" t="n">
        <f aca="false">J455*0.6</f>
        <v>5.1291</v>
      </c>
      <c r="I455" s="16" t="n">
        <f aca="false">J455*0.4</f>
        <v>3.4194</v>
      </c>
      <c r="J455" s="16" t="n">
        <f aca="false">ROUND(E455,2)*(ROUND(G455,2))</f>
        <v>8.5485</v>
      </c>
    </row>
    <row r="456" customFormat="false" ht="22.35" hidden="false" customHeight="false" outlineLevel="0" collapsed="false">
      <c r="A456" s="21" t="n">
        <v>96526</v>
      </c>
      <c r="B456" s="21" t="s">
        <v>663</v>
      </c>
      <c r="C456" s="22" t="s">
        <v>40</v>
      </c>
      <c r="D456" s="14" t="s">
        <v>41</v>
      </c>
      <c r="E456" s="14" t="n">
        <f aca="false">0.15*0.25*2.05</f>
        <v>0.076875</v>
      </c>
      <c r="F456" s="26" t="n">
        <v>250.95</v>
      </c>
      <c r="G456" s="16" t="n">
        <f aca="false">F456*1.25</f>
        <v>313.6875</v>
      </c>
      <c r="H456" s="16" t="n">
        <f aca="false">J456*0.6</f>
        <v>15.05712</v>
      </c>
      <c r="I456" s="16" t="n">
        <f aca="false">J456*0.4</f>
        <v>10.03808</v>
      </c>
      <c r="J456" s="16" t="n">
        <f aca="false">ROUND(E456,2)*(ROUND(G456,2))</f>
        <v>25.0952</v>
      </c>
    </row>
    <row r="457" customFormat="false" ht="22.35" hidden="false" customHeight="false" outlineLevel="0" collapsed="false">
      <c r="A457" s="21" t="n">
        <v>96546</v>
      </c>
      <c r="B457" s="21" t="s">
        <v>664</v>
      </c>
      <c r="C457" s="22" t="s">
        <v>52</v>
      </c>
      <c r="D457" s="14" t="s">
        <v>53</v>
      </c>
      <c r="E457" s="14" t="n">
        <f aca="false">4*2.05*0.63</f>
        <v>5.166</v>
      </c>
      <c r="F457" s="26" t="n">
        <v>16.79</v>
      </c>
      <c r="G457" s="16" t="n">
        <f aca="false">F457*1.25</f>
        <v>20.9875</v>
      </c>
      <c r="H457" s="16" t="n">
        <f aca="false">J457*0.6</f>
        <v>65.11098</v>
      </c>
      <c r="I457" s="16" t="n">
        <f aca="false">J457*0.4</f>
        <v>43.40732</v>
      </c>
      <c r="J457" s="16" t="n">
        <f aca="false">ROUND(E457,2)*(ROUND(G457,2))</f>
        <v>108.5183</v>
      </c>
    </row>
    <row r="458" customFormat="false" ht="22.35" hidden="false" customHeight="false" outlineLevel="0" collapsed="false">
      <c r="A458" s="21" t="n">
        <v>96543</v>
      </c>
      <c r="B458" s="21" t="s">
        <v>665</v>
      </c>
      <c r="C458" s="22" t="s">
        <v>55</v>
      </c>
      <c r="D458" s="14" t="s">
        <v>53</v>
      </c>
      <c r="E458" s="14" t="n">
        <f aca="false">(2.05/0.15)*0.73*0.16</f>
        <v>1.59626666666667</v>
      </c>
      <c r="F458" s="26" t="n">
        <v>20.15</v>
      </c>
      <c r="G458" s="16" t="n">
        <f aca="false">F458*1.25</f>
        <v>25.1875</v>
      </c>
      <c r="H458" s="16" t="n">
        <f aca="false">J458*0.6</f>
        <v>24.1824</v>
      </c>
      <c r="I458" s="16" t="n">
        <f aca="false">J458*0.4</f>
        <v>16.1216</v>
      </c>
      <c r="J458" s="16" t="n">
        <f aca="false">ROUND(E458,2)*(ROUND(G458,2))</f>
        <v>40.304</v>
      </c>
    </row>
    <row r="459" customFormat="false" ht="32.8" hidden="false" customHeight="false" outlineLevel="0" collapsed="false">
      <c r="A459" s="21" t="n">
        <v>96530</v>
      </c>
      <c r="B459" s="21" t="s">
        <v>666</v>
      </c>
      <c r="C459" s="22" t="s">
        <v>57</v>
      </c>
      <c r="D459" s="14" t="s">
        <v>23</v>
      </c>
      <c r="E459" s="14" t="n">
        <f aca="false">0.25*2.05*2</f>
        <v>1.025</v>
      </c>
      <c r="F459" s="26" t="n">
        <v>125.52</v>
      </c>
      <c r="G459" s="16" t="n">
        <f aca="false">F459*1.25</f>
        <v>156.9</v>
      </c>
      <c r="H459" s="16" t="n">
        <f aca="false">J459*0.6</f>
        <v>96.9642</v>
      </c>
      <c r="I459" s="16" t="n">
        <f aca="false">J459*0.4</f>
        <v>64.6428</v>
      </c>
      <c r="J459" s="16" t="n">
        <f aca="false">ROUND(E459,2)*(ROUND(G459,2))</f>
        <v>161.607</v>
      </c>
    </row>
    <row r="460" customFormat="false" ht="43.25" hidden="false" customHeight="false" outlineLevel="0" collapsed="false">
      <c r="A460" s="21" t="n">
        <v>96557</v>
      </c>
      <c r="B460" s="21" t="s">
        <v>667</v>
      </c>
      <c r="C460" s="22" t="s">
        <v>59</v>
      </c>
      <c r="D460" s="14" t="s">
        <v>41</v>
      </c>
      <c r="E460" s="14" t="n">
        <f aca="false">0.15*0.25*2.05</f>
        <v>0.076875</v>
      </c>
      <c r="F460" s="26" t="n">
        <v>494.3</v>
      </c>
      <c r="G460" s="16" t="n">
        <f aca="false">F460*1.25</f>
        <v>617.875</v>
      </c>
      <c r="H460" s="16" t="n">
        <f aca="false">J460*0.6</f>
        <v>29.65824</v>
      </c>
      <c r="I460" s="16" t="n">
        <f aca="false">J460*0.4</f>
        <v>19.77216</v>
      </c>
      <c r="J460" s="16" t="n">
        <f aca="false">ROUND(E460,2)*(ROUND(G460,2))</f>
        <v>49.4304</v>
      </c>
    </row>
    <row r="461" customFormat="false" ht="22.35" hidden="false" customHeight="false" outlineLevel="0" collapsed="false">
      <c r="A461" s="21" t="n">
        <v>98557</v>
      </c>
      <c r="B461" s="21" t="s">
        <v>668</v>
      </c>
      <c r="C461" s="22" t="s">
        <v>61</v>
      </c>
      <c r="D461" s="14" t="s">
        <v>23</v>
      </c>
      <c r="E461" s="14" t="n">
        <f aca="false">(0.25*2.05*2)+(0.15*2.05)</f>
        <v>1.3325</v>
      </c>
      <c r="F461" s="26" t="n">
        <v>35.62</v>
      </c>
      <c r="G461" s="16" t="n">
        <f aca="false">F461*1.25</f>
        <v>44.525</v>
      </c>
      <c r="H461" s="16" t="n">
        <f aca="false">J461*0.6</f>
        <v>35.53494</v>
      </c>
      <c r="I461" s="16" t="n">
        <f aca="false">J461*0.4</f>
        <v>23.68996</v>
      </c>
      <c r="J461" s="16" t="n">
        <f aca="false">ROUND(E461,2)*(ROUND(G461,2))</f>
        <v>59.2249</v>
      </c>
    </row>
    <row r="462" customFormat="false" ht="43.25" hidden="false" customHeight="false" outlineLevel="0" collapsed="false">
      <c r="A462" s="13" t="n">
        <v>101159</v>
      </c>
      <c r="B462" s="21" t="s">
        <v>669</v>
      </c>
      <c r="C462" s="13" t="s">
        <v>670</v>
      </c>
      <c r="D462" s="14" t="s">
        <v>23</v>
      </c>
      <c r="E462" s="15" t="n">
        <f aca="false">2.05*2.85</f>
        <v>5.8425</v>
      </c>
      <c r="F462" s="26" t="n">
        <v>117.07</v>
      </c>
      <c r="G462" s="16" t="n">
        <f aca="false">F462*1.25</f>
        <v>146.3375</v>
      </c>
      <c r="H462" s="16" t="n">
        <f aca="false">J462*0.6</f>
        <v>512.77536</v>
      </c>
      <c r="I462" s="16" t="n">
        <f aca="false">J462*0.4</f>
        <v>341.85024</v>
      </c>
      <c r="J462" s="16" t="n">
        <f aca="false">ROUND(E462,2)*(ROUND(G462,2))</f>
        <v>854.6256</v>
      </c>
    </row>
    <row r="463" customFormat="false" ht="13.8" hidden="false" customHeight="false" outlineLevel="0" collapsed="false">
      <c r="A463" s="23" t="s">
        <v>671</v>
      </c>
      <c r="B463" s="23"/>
      <c r="C463" s="23"/>
      <c r="D463" s="23"/>
      <c r="E463" s="23"/>
      <c r="F463" s="23"/>
      <c r="G463" s="23"/>
      <c r="H463" s="23"/>
      <c r="I463" s="23"/>
      <c r="J463" s="23"/>
    </row>
    <row r="464" customFormat="false" ht="53.7" hidden="false" customHeight="false" outlineLevel="0" collapsed="false">
      <c r="A464" s="31" t="n">
        <v>91793</v>
      </c>
      <c r="B464" s="21" t="s">
        <v>672</v>
      </c>
      <c r="C464" s="22" t="s">
        <v>264</v>
      </c>
      <c r="D464" s="14" t="s">
        <v>38</v>
      </c>
      <c r="E464" s="14" t="n">
        <v>1</v>
      </c>
      <c r="F464" s="26" t="n">
        <v>84.18</v>
      </c>
      <c r="G464" s="16" t="n">
        <f aca="false">F464*1.25</f>
        <v>105.225</v>
      </c>
      <c r="H464" s="16" t="n">
        <f aca="false">J464*0.6</f>
        <v>63.138</v>
      </c>
      <c r="I464" s="16" t="n">
        <f aca="false">J464*0.4</f>
        <v>42.092</v>
      </c>
      <c r="J464" s="16" t="n">
        <f aca="false">ROUND(E464,2)*(ROUND(G464,2))</f>
        <v>105.23</v>
      </c>
    </row>
    <row r="465" customFormat="false" ht="64.15" hidden="false" customHeight="false" outlineLevel="0" collapsed="false">
      <c r="A465" s="31" t="n">
        <v>91795</v>
      </c>
      <c r="B465" s="21" t="s">
        <v>673</v>
      </c>
      <c r="C465" s="22" t="s">
        <v>266</v>
      </c>
      <c r="D465" s="14" t="s">
        <v>38</v>
      </c>
      <c r="E465" s="14" t="n">
        <v>5</v>
      </c>
      <c r="F465" s="26" t="n">
        <v>71.75</v>
      </c>
      <c r="G465" s="16" t="n">
        <f aca="false">F465*1.25</f>
        <v>89.6875</v>
      </c>
      <c r="H465" s="16" t="n">
        <f aca="false">J465*0.6</f>
        <v>269.07</v>
      </c>
      <c r="I465" s="16" t="n">
        <f aca="false">J465*0.4</f>
        <v>179.38</v>
      </c>
      <c r="J465" s="16" t="n">
        <f aca="false">ROUND(E465,2)*(ROUND(G465,2))</f>
        <v>448.45</v>
      </c>
    </row>
    <row r="466" customFormat="false" ht="32.8" hidden="false" customHeight="false" outlineLevel="0" collapsed="false">
      <c r="A466" s="31" t="n">
        <v>89707</v>
      </c>
      <c r="B466" s="21" t="s">
        <v>674</v>
      </c>
      <c r="C466" s="22" t="s">
        <v>268</v>
      </c>
      <c r="D466" s="14" t="s">
        <v>27</v>
      </c>
      <c r="E466" s="14" t="n">
        <v>1</v>
      </c>
      <c r="F466" s="26" t="n">
        <v>34.14</v>
      </c>
      <c r="G466" s="16" t="n">
        <f aca="false">F466*1.25</f>
        <v>42.675</v>
      </c>
      <c r="H466" s="16" t="n">
        <f aca="false">J466*0.6</f>
        <v>25.608</v>
      </c>
      <c r="I466" s="16" t="n">
        <f aca="false">J466*0.4</f>
        <v>17.072</v>
      </c>
      <c r="J466" s="16" t="n">
        <f aca="false">ROUND(E466,2)*(ROUND(G466,2))</f>
        <v>42.68</v>
      </c>
    </row>
    <row r="467" customFormat="false" ht="43.25" hidden="false" customHeight="false" outlineLevel="0" collapsed="false">
      <c r="A467" s="31" t="n">
        <v>86931</v>
      </c>
      <c r="B467" s="21" t="s">
        <v>675</v>
      </c>
      <c r="C467" s="22" t="s">
        <v>676</v>
      </c>
      <c r="D467" s="14" t="s">
        <v>27</v>
      </c>
      <c r="E467" s="14" t="n">
        <v>1</v>
      </c>
      <c r="F467" s="26" t="n">
        <v>356.18</v>
      </c>
      <c r="G467" s="16" t="n">
        <f aca="false">F467*1.25</f>
        <v>445.225</v>
      </c>
      <c r="H467" s="16" t="n">
        <f aca="false">J467*0.6</f>
        <v>267.138</v>
      </c>
      <c r="I467" s="16" t="n">
        <f aca="false">J467*0.4</f>
        <v>178.092</v>
      </c>
      <c r="J467" s="16" t="n">
        <f aca="false">ROUND(E467,2)*(ROUND(G467,2))</f>
        <v>445.23</v>
      </c>
    </row>
    <row r="468" customFormat="false" ht="53.7" hidden="false" customHeight="false" outlineLevel="0" collapsed="false">
      <c r="A468" s="31" t="n">
        <v>86939</v>
      </c>
      <c r="B468" s="21" t="s">
        <v>677</v>
      </c>
      <c r="C468" s="22" t="s">
        <v>678</v>
      </c>
      <c r="D468" s="14" t="s">
        <v>27</v>
      </c>
      <c r="E468" s="14" t="n">
        <v>1</v>
      </c>
      <c r="F468" s="26" t="n">
        <v>330.82</v>
      </c>
      <c r="G468" s="16" t="n">
        <f aca="false">F468*1.25</f>
        <v>413.525</v>
      </c>
      <c r="H468" s="16" t="n">
        <f aca="false">J468*0.6</f>
        <v>248.118</v>
      </c>
      <c r="I468" s="16" t="n">
        <f aca="false">J468*0.4</f>
        <v>165.412</v>
      </c>
      <c r="J468" s="16" t="n">
        <f aca="false">ROUND(E468,2)*(ROUND(G468,2))</f>
        <v>413.53</v>
      </c>
    </row>
    <row r="469" customFormat="false" ht="13.8" hidden="false" customHeight="false" outlineLevel="0" collapsed="false">
      <c r="A469" s="23" t="s">
        <v>679</v>
      </c>
      <c r="B469" s="23"/>
      <c r="C469" s="23"/>
      <c r="D469" s="23"/>
      <c r="E469" s="23"/>
      <c r="F469" s="23"/>
      <c r="G469" s="23"/>
      <c r="H469" s="23"/>
      <c r="I469" s="23"/>
      <c r="J469" s="23"/>
    </row>
    <row r="470" customFormat="false" ht="43.25" hidden="false" customHeight="false" outlineLevel="0" collapsed="false">
      <c r="A470" s="13" t="n">
        <v>87879</v>
      </c>
      <c r="B470" s="21" t="s">
        <v>680</v>
      </c>
      <c r="C470" s="13" t="s">
        <v>156</v>
      </c>
      <c r="D470" s="14" t="s">
        <v>23</v>
      </c>
      <c r="E470" s="15" t="n">
        <f aca="false">E462*2</f>
        <v>11.685</v>
      </c>
      <c r="F470" s="26" t="n">
        <v>3.45</v>
      </c>
      <c r="G470" s="16" t="n">
        <f aca="false">F470*1.25</f>
        <v>4.3125</v>
      </c>
      <c r="H470" s="16" t="n">
        <f aca="false">J470*0.6</f>
        <v>30.23034</v>
      </c>
      <c r="I470" s="16" t="n">
        <f aca="false">J470*0.4</f>
        <v>20.15356</v>
      </c>
      <c r="J470" s="16" t="n">
        <f aca="false">ROUND(E470,2)*(ROUND(G470,2))</f>
        <v>50.3839</v>
      </c>
    </row>
    <row r="471" customFormat="false" ht="53.7" hidden="false" customHeight="false" outlineLevel="0" collapsed="false">
      <c r="A471" s="13" t="n">
        <v>87529</v>
      </c>
      <c r="B471" s="21" t="s">
        <v>681</v>
      </c>
      <c r="C471" s="13" t="s">
        <v>158</v>
      </c>
      <c r="D471" s="14" t="s">
        <v>23</v>
      </c>
      <c r="E471" s="15" t="n">
        <f aca="false">E470</f>
        <v>11.685</v>
      </c>
      <c r="F471" s="26" t="n">
        <v>29.01</v>
      </c>
      <c r="G471" s="16" t="n">
        <f aca="false">F471*1.25</f>
        <v>36.2625</v>
      </c>
      <c r="H471" s="16" t="n">
        <f aca="false">J471*0.6</f>
        <v>254.32764</v>
      </c>
      <c r="I471" s="16" t="n">
        <f aca="false">J471*0.4</f>
        <v>169.55176</v>
      </c>
      <c r="J471" s="16" t="n">
        <f aca="false">ROUND(E471,2)*(ROUND(G471,2))</f>
        <v>423.8794</v>
      </c>
    </row>
    <row r="472" customFormat="false" ht="53.7" hidden="false" customHeight="false" outlineLevel="0" collapsed="false">
      <c r="A472" s="13" t="n">
        <v>87273</v>
      </c>
      <c r="B472" s="21" t="s">
        <v>682</v>
      </c>
      <c r="C472" s="13" t="s">
        <v>163</v>
      </c>
      <c r="D472" s="14" t="s">
        <v>23</v>
      </c>
      <c r="E472" s="15" t="n">
        <f aca="false">(1.1+2.05+1.1+2.05)*2.85</f>
        <v>17.955</v>
      </c>
      <c r="F472" s="26" t="n">
        <v>58.86</v>
      </c>
      <c r="G472" s="16" t="n">
        <f aca="false">F472*1.25</f>
        <v>73.575</v>
      </c>
      <c r="H472" s="16" t="n">
        <f aca="false">J472*0.6</f>
        <v>792.89808</v>
      </c>
      <c r="I472" s="16" t="n">
        <f aca="false">J472*0.4</f>
        <v>528.59872</v>
      </c>
      <c r="J472" s="16" t="n">
        <f aca="false">ROUND(E472,2)*(ROUND(G472,2))</f>
        <v>1321.4968</v>
      </c>
    </row>
    <row r="473" customFormat="false" ht="22.35" hidden="false" customHeight="false" outlineLevel="0" collapsed="false">
      <c r="A473" s="12" t="n">
        <v>88484</v>
      </c>
      <c r="B473" s="21" t="s">
        <v>683</v>
      </c>
      <c r="C473" s="13" t="s">
        <v>221</v>
      </c>
      <c r="D473" s="15" t="s">
        <v>23</v>
      </c>
      <c r="E473" s="15" t="n">
        <v>2.26</v>
      </c>
      <c r="F473" s="26" t="n">
        <v>2.44</v>
      </c>
      <c r="G473" s="16" t="n">
        <f aca="false">F473*1.25</f>
        <v>3.05</v>
      </c>
      <c r="H473" s="16" t="n">
        <f aca="false">J473*0.6</f>
        <v>4.1358</v>
      </c>
      <c r="I473" s="16" t="n">
        <f aca="false">J473*0.4</f>
        <v>2.7572</v>
      </c>
      <c r="J473" s="16" t="n">
        <f aca="false">ROUND(E473,2)*(ROUND(G473,2))</f>
        <v>6.893</v>
      </c>
    </row>
    <row r="474" customFormat="false" ht="22.35" hidden="false" customHeight="false" outlineLevel="0" collapsed="false">
      <c r="A474" s="12" t="n">
        <v>88488</v>
      </c>
      <c r="B474" s="21" t="s">
        <v>684</v>
      </c>
      <c r="C474" s="13" t="s">
        <v>223</v>
      </c>
      <c r="D474" s="15" t="s">
        <v>23</v>
      </c>
      <c r="E474" s="15" t="n">
        <f aca="false">E473</f>
        <v>2.26</v>
      </c>
      <c r="F474" s="26" t="n">
        <v>15.49</v>
      </c>
      <c r="G474" s="16" t="n">
        <f aca="false">F474*1.25</f>
        <v>19.3625</v>
      </c>
      <c r="H474" s="16" t="n">
        <f aca="false">J474*0.6</f>
        <v>26.25216</v>
      </c>
      <c r="I474" s="16" t="n">
        <f aca="false">J474*0.4</f>
        <v>17.50144</v>
      </c>
      <c r="J474" s="16" t="n">
        <f aca="false">ROUND(E474,2)*(ROUND(G474,2))</f>
        <v>43.7536</v>
      </c>
    </row>
    <row r="475" customFormat="false" ht="22.35" hidden="false" customHeight="false" outlineLevel="0" collapsed="false">
      <c r="A475" s="13" t="n">
        <v>88476</v>
      </c>
      <c r="B475" s="21" t="s">
        <v>685</v>
      </c>
      <c r="C475" s="13" t="s">
        <v>148</v>
      </c>
      <c r="D475" s="14" t="s">
        <v>23</v>
      </c>
      <c r="E475" s="15" t="n">
        <f aca="false">E473</f>
        <v>2.26</v>
      </c>
      <c r="F475" s="26" t="n">
        <v>16.59</v>
      </c>
      <c r="G475" s="16" t="n">
        <f aca="false">F475*1.25</f>
        <v>20.7375</v>
      </c>
      <c r="H475" s="16" t="n">
        <f aca="false">J475*0.6</f>
        <v>28.12344</v>
      </c>
      <c r="I475" s="16" t="n">
        <f aca="false">J475*0.4</f>
        <v>18.74896</v>
      </c>
      <c r="J475" s="16" t="n">
        <f aca="false">ROUND(E475,2)*(ROUND(G475,2))</f>
        <v>46.8724</v>
      </c>
    </row>
    <row r="476" customFormat="false" ht="43.25" hidden="false" customHeight="false" outlineLevel="0" collapsed="false">
      <c r="A476" s="13" t="n">
        <v>87260</v>
      </c>
      <c r="B476" s="21" t="s">
        <v>686</v>
      </c>
      <c r="C476" s="13" t="s">
        <v>150</v>
      </c>
      <c r="D476" s="14" t="s">
        <v>23</v>
      </c>
      <c r="E476" s="15" t="n">
        <f aca="false">E473</f>
        <v>2.26</v>
      </c>
      <c r="F476" s="26" t="n">
        <v>100.37</v>
      </c>
      <c r="G476" s="16" t="n">
        <f aca="false">F476*1.25</f>
        <v>125.4625</v>
      </c>
      <c r="H476" s="16" t="n">
        <f aca="false">J476*0.6</f>
        <v>170.12376</v>
      </c>
      <c r="I476" s="16" t="n">
        <f aca="false">J476*0.4</f>
        <v>113.41584</v>
      </c>
      <c r="J476" s="16" t="n">
        <f aca="false">ROUND(E476,2)*(ROUND(G476,2))</f>
        <v>283.5396</v>
      </c>
    </row>
    <row r="477" customFormat="false" ht="53.7" hidden="false" customHeight="false" outlineLevel="0" collapsed="false">
      <c r="A477" s="13" t="n">
        <v>90791</v>
      </c>
      <c r="B477" s="21" t="s">
        <v>687</v>
      </c>
      <c r="C477" s="13" t="s">
        <v>602</v>
      </c>
      <c r="D477" s="14" t="s">
        <v>27</v>
      </c>
      <c r="E477" s="15" t="n">
        <v>1</v>
      </c>
      <c r="F477" s="26" t="n">
        <v>903</v>
      </c>
      <c r="G477" s="16" t="n">
        <f aca="false">F477*1.25</f>
        <v>1128.75</v>
      </c>
      <c r="H477" s="16" t="n">
        <f aca="false">J477*0.6</f>
        <v>677.25</v>
      </c>
      <c r="I477" s="16" t="n">
        <f aca="false">J477*0.4</f>
        <v>451.5</v>
      </c>
      <c r="J477" s="16" t="n">
        <f aca="false">ROUND(E477,2)*(ROUND(G477,2))</f>
        <v>1128.75</v>
      </c>
    </row>
    <row r="478" customFormat="false" ht="43.25" hidden="false" customHeight="false" outlineLevel="0" collapsed="false">
      <c r="A478" s="13" t="n">
        <v>94569</v>
      </c>
      <c r="B478" s="21" t="s">
        <v>688</v>
      </c>
      <c r="C478" s="13" t="s">
        <v>133</v>
      </c>
      <c r="D478" s="14" t="s">
        <v>23</v>
      </c>
      <c r="E478" s="15" t="n">
        <f aca="false">0.6*0.6</f>
        <v>0.36</v>
      </c>
      <c r="F478" s="26" t="n">
        <v>535.56</v>
      </c>
      <c r="G478" s="16" t="n">
        <f aca="false">F478*1.25</f>
        <v>669.45</v>
      </c>
      <c r="H478" s="16" t="n">
        <f aca="false">J478*0.6</f>
        <v>144.6012</v>
      </c>
      <c r="I478" s="16" t="n">
        <f aca="false">J478*0.4</f>
        <v>96.4008</v>
      </c>
      <c r="J478" s="16" t="n">
        <f aca="false">ROUND(E478,2)*(ROUND(G478,2))</f>
        <v>241.002</v>
      </c>
    </row>
    <row r="479" customFormat="false" ht="22.35" hidden="false" customHeight="false" outlineLevel="0" collapsed="false">
      <c r="A479" s="13" t="n">
        <v>99862</v>
      </c>
      <c r="B479" s="21" t="s">
        <v>689</v>
      </c>
      <c r="C479" s="13" t="s">
        <v>197</v>
      </c>
      <c r="D479" s="14" t="s">
        <v>23</v>
      </c>
      <c r="E479" s="15" t="n">
        <f aca="false">E478</f>
        <v>0.36</v>
      </c>
      <c r="F479" s="26" t="n">
        <v>530.39</v>
      </c>
      <c r="G479" s="16" t="n">
        <f aca="false">F479*1.25</f>
        <v>662.9875</v>
      </c>
      <c r="H479" s="16" t="n">
        <f aca="false">J479*0.6</f>
        <v>143.20584</v>
      </c>
      <c r="I479" s="16" t="n">
        <f aca="false">J479*0.4</f>
        <v>95.47056</v>
      </c>
      <c r="J479" s="16" t="n">
        <f aca="false">ROUND(E479,2)*(ROUND(G479,2))</f>
        <v>238.6764</v>
      </c>
    </row>
    <row r="480" customFormat="false" ht="13.8" hidden="false" customHeight="false" outlineLevel="0" collapsed="false">
      <c r="A480" s="18"/>
      <c r="B480" s="18"/>
      <c r="C480" s="18"/>
      <c r="D480" s="18"/>
      <c r="E480" s="18"/>
      <c r="F480" s="18"/>
      <c r="G480" s="18"/>
      <c r="H480" s="18"/>
      <c r="I480" s="19" t="s">
        <v>32</v>
      </c>
      <c r="J480" s="20" t="n">
        <f aca="false">SUM(J450:J479)</f>
        <v>6822.3635</v>
      </c>
    </row>
    <row r="481" customFormat="false" ht="13.8" hidden="false" customHeight="false" outlineLevel="0" collapsed="false">
      <c r="A481" s="11" t="s">
        <v>690</v>
      </c>
      <c r="B481" s="11"/>
      <c r="C481" s="11"/>
      <c r="D481" s="11"/>
      <c r="E481" s="11"/>
      <c r="F481" s="11"/>
      <c r="G481" s="11"/>
      <c r="H481" s="11"/>
      <c r="I481" s="11"/>
      <c r="J481" s="11"/>
    </row>
    <row r="482" customFormat="false" ht="53.7" hidden="false" customHeight="false" outlineLevel="0" collapsed="false">
      <c r="A482" s="13" t="n">
        <v>87505</v>
      </c>
      <c r="B482" s="21" t="s">
        <v>691</v>
      </c>
      <c r="C482" s="13" t="s">
        <v>64</v>
      </c>
      <c r="D482" s="14" t="s">
        <v>23</v>
      </c>
      <c r="E482" s="15" t="n">
        <f aca="false">(7.95+12.7+7.95+24.1+2.15+5.75)*0.7</f>
        <v>42.42</v>
      </c>
      <c r="F482" s="26" t="n">
        <v>69.28</v>
      </c>
      <c r="G482" s="16" t="n">
        <f aca="false">F482*1.25</f>
        <v>86.6</v>
      </c>
      <c r="H482" s="16" t="n">
        <f aca="false">J482*0.6</f>
        <v>2204.1432</v>
      </c>
      <c r="I482" s="16" t="n">
        <f aca="false">J482*0.4</f>
        <v>1469.4288</v>
      </c>
      <c r="J482" s="16" t="n">
        <f aca="false">ROUND(E482,2)*(ROUND(G482,2))</f>
        <v>3673.572</v>
      </c>
    </row>
    <row r="483" customFormat="false" ht="22.35" hidden="false" customHeight="false" outlineLevel="0" collapsed="false">
      <c r="A483" s="13" t="n">
        <v>93204</v>
      </c>
      <c r="B483" s="21" t="s">
        <v>692</v>
      </c>
      <c r="C483" s="13" t="s">
        <v>118</v>
      </c>
      <c r="D483" s="14" t="s">
        <v>38</v>
      </c>
      <c r="E483" s="15" t="n">
        <f aca="false">7.95+12.7+7.95+24.1+2.15+5.75</f>
        <v>60.6</v>
      </c>
      <c r="F483" s="26" t="n">
        <v>50.99</v>
      </c>
      <c r="G483" s="16" t="n">
        <f aca="false">F483*1.25</f>
        <v>63.7375</v>
      </c>
      <c r="H483" s="16" t="n">
        <f aca="false">J483*0.6</f>
        <v>2317.5864</v>
      </c>
      <c r="I483" s="16" t="n">
        <f aca="false">J483*0.4</f>
        <v>1545.0576</v>
      </c>
      <c r="J483" s="16" t="n">
        <f aca="false">ROUND(E483,2)*(ROUND(G483,2))</f>
        <v>3862.644</v>
      </c>
    </row>
    <row r="484" customFormat="false" ht="43.25" hidden="false" customHeight="false" outlineLevel="0" collapsed="false">
      <c r="A484" s="13" t="n">
        <v>92775</v>
      </c>
      <c r="B484" s="21" t="s">
        <v>693</v>
      </c>
      <c r="C484" s="13" t="s">
        <v>81</v>
      </c>
      <c r="D484" s="13" t="s">
        <v>53</v>
      </c>
      <c r="E484" s="15" t="n">
        <f aca="false">(60.6/0.15)*0.83*0.16</f>
        <v>53.6512</v>
      </c>
      <c r="F484" s="26" t="n">
        <v>20.25</v>
      </c>
      <c r="G484" s="16" t="n">
        <f aca="false">F484*1.25</f>
        <v>25.3125</v>
      </c>
      <c r="H484" s="16" t="n">
        <f aca="false">J484*0.6</f>
        <v>814.7289</v>
      </c>
      <c r="I484" s="16" t="n">
        <f aca="false">J484*0.4</f>
        <v>543.1526</v>
      </c>
      <c r="J484" s="16" t="n">
        <f aca="false">ROUND(E484,2)*(ROUND(G484,2))</f>
        <v>1357.8815</v>
      </c>
    </row>
    <row r="485" customFormat="false" ht="43.25" hidden="false" customHeight="false" outlineLevel="0" collapsed="false">
      <c r="A485" s="13" t="n">
        <v>87879</v>
      </c>
      <c r="B485" s="21" t="s">
        <v>694</v>
      </c>
      <c r="C485" s="13" t="s">
        <v>156</v>
      </c>
      <c r="D485" s="14" t="s">
        <v>23</v>
      </c>
      <c r="E485" s="15" t="n">
        <f aca="false">(7.95+12.7+7.95+24.1+2.15+5.75)*1*2</f>
        <v>121.2</v>
      </c>
      <c r="F485" s="26" t="n">
        <v>3.45</v>
      </c>
      <c r="G485" s="16" t="n">
        <f aca="false">F485*1.25</f>
        <v>4.3125</v>
      </c>
      <c r="H485" s="16" t="n">
        <f aca="false">J485*0.6</f>
        <v>313.4232</v>
      </c>
      <c r="I485" s="16" t="n">
        <f aca="false">J485*0.4</f>
        <v>208.9488</v>
      </c>
      <c r="J485" s="16" t="n">
        <f aca="false">ROUND(E485,2)*(ROUND(G485,2))</f>
        <v>522.372</v>
      </c>
    </row>
    <row r="486" customFormat="false" ht="53.7" hidden="false" customHeight="false" outlineLevel="0" collapsed="false">
      <c r="A486" s="13" t="n">
        <v>87529</v>
      </c>
      <c r="B486" s="21" t="s">
        <v>695</v>
      </c>
      <c r="C486" s="13" t="s">
        <v>158</v>
      </c>
      <c r="D486" s="14" t="s">
        <v>23</v>
      </c>
      <c r="E486" s="15" t="n">
        <f aca="false">E485</f>
        <v>121.2</v>
      </c>
      <c r="F486" s="26" t="n">
        <v>29.01</v>
      </c>
      <c r="G486" s="16" t="n">
        <f aca="false">F486*1.25</f>
        <v>36.2625</v>
      </c>
      <c r="H486" s="16" t="n">
        <f aca="false">J486*0.6</f>
        <v>2636.8272</v>
      </c>
      <c r="I486" s="16" t="n">
        <f aca="false">J486*0.4</f>
        <v>1757.8848</v>
      </c>
      <c r="J486" s="16" t="n">
        <f aca="false">ROUND(E486,2)*(ROUND(G486,2))</f>
        <v>4394.712</v>
      </c>
    </row>
    <row r="487" customFormat="false" ht="22.35" hidden="false" customHeight="false" outlineLevel="0" collapsed="false">
      <c r="A487" s="13" t="s">
        <v>159</v>
      </c>
      <c r="B487" s="21" t="s">
        <v>696</v>
      </c>
      <c r="C487" s="13" t="s">
        <v>161</v>
      </c>
      <c r="D487" s="14" t="s">
        <v>23</v>
      </c>
      <c r="E487" s="15" t="n">
        <f aca="false">E486</f>
        <v>121.2</v>
      </c>
      <c r="F487" s="26" t="n">
        <v>4.48</v>
      </c>
      <c r="G487" s="16" t="n">
        <f aca="false">F487*1.25</f>
        <v>5.6</v>
      </c>
      <c r="H487" s="16" t="n">
        <f aca="false">J487*0.6</f>
        <v>407.232</v>
      </c>
      <c r="I487" s="16" t="n">
        <f aca="false">J487*0.4</f>
        <v>271.488</v>
      </c>
      <c r="J487" s="16" t="n">
        <f aca="false">ROUND(E487,2)*(ROUND(G487,2))</f>
        <v>678.72</v>
      </c>
    </row>
    <row r="488" customFormat="false" ht="22.35" hidden="false" customHeight="false" outlineLevel="0" collapsed="false">
      <c r="A488" s="13" t="s">
        <v>697</v>
      </c>
      <c r="B488" s="21" t="s">
        <v>698</v>
      </c>
      <c r="C488" s="13" t="s">
        <v>177</v>
      </c>
      <c r="D488" s="14" t="s">
        <v>53</v>
      </c>
      <c r="E488" s="15" t="n">
        <v>50</v>
      </c>
      <c r="F488" s="26" t="n">
        <f aca="false">14.48+(14.48*0.4)</f>
        <v>20.272</v>
      </c>
      <c r="G488" s="16" t="n">
        <f aca="false">F488*1.25</f>
        <v>25.34</v>
      </c>
      <c r="H488" s="16" t="n">
        <f aca="false">J488*0.6</f>
        <v>760.2</v>
      </c>
      <c r="I488" s="16" t="n">
        <f aca="false">J488*0.4</f>
        <v>506.8</v>
      </c>
      <c r="J488" s="16" t="n">
        <f aca="false">ROUND(E488,2)*(ROUND(G488,2))</f>
        <v>1267</v>
      </c>
    </row>
    <row r="489" customFormat="false" ht="22.35" hidden="false" customHeight="false" outlineLevel="0" collapsed="false">
      <c r="A489" s="13" t="n">
        <v>102193</v>
      </c>
      <c r="B489" s="21" t="s">
        <v>699</v>
      </c>
      <c r="C489" s="9" t="s">
        <v>213</v>
      </c>
      <c r="D489" s="21" t="s">
        <v>23</v>
      </c>
      <c r="E489" s="15" t="n">
        <f aca="false">E486</f>
        <v>121.2</v>
      </c>
      <c r="F489" s="26" t="n">
        <v>1.52</v>
      </c>
      <c r="G489" s="16" t="n">
        <f aca="false">F489*1.25</f>
        <v>1.9</v>
      </c>
      <c r="H489" s="16" t="n">
        <f aca="false">J489*0.6</f>
        <v>138.168</v>
      </c>
      <c r="I489" s="16" t="n">
        <f aca="false">J489*0.4</f>
        <v>92.112</v>
      </c>
      <c r="J489" s="16" t="n">
        <f aca="false">ROUND(E489,2)*(ROUND(G489,2))</f>
        <v>230.28</v>
      </c>
    </row>
    <row r="490" customFormat="false" ht="22.35" hidden="false" customHeight="false" outlineLevel="0" collapsed="false">
      <c r="A490" s="12" t="n">
        <v>88485</v>
      </c>
      <c r="B490" s="21" t="s">
        <v>700</v>
      </c>
      <c r="C490" s="13" t="s">
        <v>217</v>
      </c>
      <c r="D490" s="15" t="s">
        <v>23</v>
      </c>
      <c r="E490" s="15" t="n">
        <f aca="false">E486</f>
        <v>121.2</v>
      </c>
      <c r="F490" s="26" t="n">
        <v>2.08</v>
      </c>
      <c r="G490" s="16" t="n">
        <f aca="false">F490*1.25</f>
        <v>2.6</v>
      </c>
      <c r="H490" s="16" t="n">
        <f aca="false">J490*0.6</f>
        <v>189.072</v>
      </c>
      <c r="I490" s="16" t="n">
        <f aca="false">J490*0.4</f>
        <v>126.048</v>
      </c>
      <c r="J490" s="16" t="n">
        <f aca="false">ROUND(E490,2)*(ROUND(G490,2))</f>
        <v>315.12</v>
      </c>
    </row>
    <row r="491" customFormat="false" ht="22.35" hidden="false" customHeight="false" outlineLevel="0" collapsed="false">
      <c r="A491" s="12" t="n">
        <v>88489</v>
      </c>
      <c r="B491" s="21" t="s">
        <v>701</v>
      </c>
      <c r="C491" s="13" t="s">
        <v>219</v>
      </c>
      <c r="D491" s="15" t="s">
        <v>23</v>
      </c>
      <c r="E491" s="15" t="n">
        <f aca="false">E490</f>
        <v>121.2</v>
      </c>
      <c r="F491" s="26" t="n">
        <v>13.85</v>
      </c>
      <c r="G491" s="16" t="n">
        <f aca="false">F491*1.25</f>
        <v>17.3125</v>
      </c>
      <c r="H491" s="16" t="n">
        <f aca="false">J491*0.6</f>
        <v>1258.7832</v>
      </c>
      <c r="I491" s="16" t="n">
        <f aca="false">J491*0.4</f>
        <v>839.1888</v>
      </c>
      <c r="J491" s="16" t="n">
        <f aca="false">ROUND(E491,2)*(ROUND(G491,2))</f>
        <v>2097.972</v>
      </c>
    </row>
    <row r="492" customFormat="false" ht="13.8" hidden="false" customHeight="false" outlineLevel="0" collapsed="false">
      <c r="A492" s="18"/>
      <c r="B492" s="18"/>
      <c r="C492" s="18"/>
      <c r="D492" s="18"/>
      <c r="E492" s="18"/>
      <c r="F492" s="18"/>
      <c r="G492" s="18"/>
      <c r="H492" s="18"/>
      <c r="I492" s="19" t="s">
        <v>32</v>
      </c>
      <c r="J492" s="20" t="n">
        <f aca="false">SUM(J482:J491)</f>
        <v>18400.2735</v>
      </c>
    </row>
    <row r="493" customFormat="false" ht="13.8" hidden="false" customHeight="false" outlineLevel="0" collapsed="false">
      <c r="A493" s="11" t="s">
        <v>702</v>
      </c>
      <c r="B493" s="11"/>
      <c r="C493" s="11"/>
      <c r="D493" s="11"/>
      <c r="E493" s="11"/>
      <c r="F493" s="11"/>
      <c r="G493" s="11"/>
      <c r="H493" s="11"/>
      <c r="I493" s="11"/>
      <c r="J493" s="11"/>
    </row>
    <row r="494" customFormat="false" ht="32.8" hidden="false" customHeight="false" outlineLevel="0" collapsed="false">
      <c r="A494" s="13" t="n">
        <v>97647</v>
      </c>
      <c r="B494" s="21" t="s">
        <v>116</v>
      </c>
      <c r="C494" s="13" t="s">
        <v>703</v>
      </c>
      <c r="D494" s="14" t="s">
        <v>23</v>
      </c>
      <c r="E494" s="15" t="n">
        <f aca="false">(7.95+12.7+7.95+24.1)*0.7</f>
        <v>36.89</v>
      </c>
      <c r="F494" s="26" t="n">
        <v>2.79</v>
      </c>
      <c r="G494" s="26" t="n">
        <f aca="false">F494*1.25</f>
        <v>3.4875</v>
      </c>
      <c r="H494" s="16" t="n">
        <f aca="false">J494*0.6</f>
        <v>77.24766</v>
      </c>
      <c r="I494" s="16" t="n">
        <f aca="false">J494*0.4</f>
        <v>51.49844</v>
      </c>
      <c r="J494" s="16" t="n">
        <f aca="false">ROUND(E494,2)*(ROUND(G494,2))</f>
        <v>128.7461</v>
      </c>
    </row>
    <row r="495" customFormat="false" ht="32.8" hidden="false" customHeight="false" outlineLevel="0" collapsed="false">
      <c r="A495" s="13" t="n">
        <v>97650</v>
      </c>
      <c r="B495" s="21" t="s">
        <v>117</v>
      </c>
      <c r="C495" s="13" t="s">
        <v>704</v>
      </c>
      <c r="D495" s="14" t="s">
        <v>23</v>
      </c>
      <c r="E495" s="15" t="n">
        <f aca="false">(7.95+12.7+7.95+24.1)*0.7</f>
        <v>36.89</v>
      </c>
      <c r="F495" s="26" t="n">
        <v>6.01</v>
      </c>
      <c r="G495" s="26" t="n">
        <f aca="false">F495*1.25</f>
        <v>7.5125</v>
      </c>
      <c r="H495" s="16" t="n">
        <f aca="false">J495*0.6</f>
        <v>166.22634</v>
      </c>
      <c r="I495" s="16" t="n">
        <f aca="false">J495*0.4</f>
        <v>110.81756</v>
      </c>
      <c r="J495" s="16" t="n">
        <f aca="false">ROUND(E495,2)*(ROUND(G495,2))</f>
        <v>277.0439</v>
      </c>
    </row>
    <row r="496" customFormat="false" ht="32.8" hidden="false" customHeight="false" outlineLevel="0" collapsed="false">
      <c r="A496" s="13" t="n">
        <v>97652</v>
      </c>
      <c r="B496" s="21" t="s">
        <v>119</v>
      </c>
      <c r="C496" s="13" t="s">
        <v>705</v>
      </c>
      <c r="D496" s="14" t="s">
        <v>27</v>
      </c>
      <c r="E496" s="15" t="n">
        <v>40</v>
      </c>
      <c r="F496" s="26" t="n">
        <v>150.8</v>
      </c>
      <c r="G496" s="26" t="n">
        <f aca="false">F496*1.25</f>
        <v>188.5</v>
      </c>
      <c r="H496" s="16" t="n">
        <f aca="false">J496*0.6</f>
        <v>4524</v>
      </c>
      <c r="I496" s="16" t="n">
        <f aca="false">J496*0.4</f>
        <v>3016</v>
      </c>
      <c r="J496" s="16" t="n">
        <f aca="false">ROUND(E496,2)*(ROUND(G496,2))</f>
        <v>7540</v>
      </c>
    </row>
    <row r="497" customFormat="false" ht="43.25" hidden="false" customHeight="false" outlineLevel="0" collapsed="false">
      <c r="A497" s="13" t="n">
        <v>92610</v>
      </c>
      <c r="B497" s="21" t="s">
        <v>706</v>
      </c>
      <c r="C497" s="13" t="s">
        <v>707</v>
      </c>
      <c r="D497" s="14" t="s">
        <v>27</v>
      </c>
      <c r="E497" s="15" t="n">
        <v>2</v>
      </c>
      <c r="F497" s="26" t="n">
        <v>1696.58</v>
      </c>
      <c r="G497" s="26" t="n">
        <f aca="false">F497*1.25</f>
        <v>2120.725</v>
      </c>
      <c r="H497" s="16" t="n">
        <f aca="false">J497*0.6</f>
        <v>2544.876</v>
      </c>
      <c r="I497" s="16" t="n">
        <f aca="false">J497*0.4</f>
        <v>1696.584</v>
      </c>
      <c r="J497" s="16" t="n">
        <f aca="false">ROUND(E497,2)*(ROUND(G497,2))</f>
        <v>4241.46</v>
      </c>
    </row>
    <row r="498" customFormat="false" ht="43.25" hidden="false" customHeight="false" outlineLevel="0" collapsed="false">
      <c r="A498" s="13" t="n">
        <v>92612</v>
      </c>
      <c r="B498" s="21" t="s">
        <v>708</v>
      </c>
      <c r="C498" s="13" t="s">
        <v>709</v>
      </c>
      <c r="D498" s="14" t="s">
        <v>27</v>
      </c>
      <c r="E498" s="15" t="n">
        <f aca="false">5+6</f>
        <v>11</v>
      </c>
      <c r="F498" s="26" t="n">
        <v>2033.07</v>
      </c>
      <c r="G498" s="26" t="n">
        <f aca="false">F498*1.25</f>
        <v>2541.3375</v>
      </c>
      <c r="H498" s="16" t="n">
        <f aca="false">J498*0.6</f>
        <v>16772.844</v>
      </c>
      <c r="I498" s="16" t="n">
        <f aca="false">J498*0.4</f>
        <v>11181.896</v>
      </c>
      <c r="J498" s="16" t="n">
        <f aca="false">ROUND(E498,2)*(ROUND(G498,2))</f>
        <v>27954.74</v>
      </c>
    </row>
    <row r="499" customFormat="false" ht="53.7" hidden="false" customHeight="false" outlineLevel="0" collapsed="false">
      <c r="A499" s="13" t="n">
        <v>92580</v>
      </c>
      <c r="B499" s="21" t="s">
        <v>710</v>
      </c>
      <c r="C499" s="13" t="s">
        <v>139</v>
      </c>
      <c r="D499" s="14" t="s">
        <v>23</v>
      </c>
      <c r="E499" s="15" t="n">
        <f aca="false">105.49+188.45</f>
        <v>293.94</v>
      </c>
      <c r="F499" s="26" t="n">
        <v>65.8</v>
      </c>
      <c r="G499" s="26" t="n">
        <f aca="false">F499*1.25</f>
        <v>82.25</v>
      </c>
      <c r="H499" s="16" t="n">
        <f aca="false">J499*0.6</f>
        <v>14505.939</v>
      </c>
      <c r="I499" s="16" t="n">
        <f aca="false">J499*0.4</f>
        <v>9670.626</v>
      </c>
      <c r="J499" s="16" t="n">
        <f aca="false">ROUND(E499,2)*(ROUND(G499,2))</f>
        <v>24176.565</v>
      </c>
    </row>
    <row r="500" customFormat="false" ht="22.35" hidden="false" customHeight="false" outlineLevel="0" collapsed="false">
      <c r="A500" s="13" t="n">
        <v>94213</v>
      </c>
      <c r="B500" s="21" t="s">
        <v>711</v>
      </c>
      <c r="C500" s="13" t="s">
        <v>141</v>
      </c>
      <c r="D500" s="14" t="s">
        <v>23</v>
      </c>
      <c r="E500" s="15" t="n">
        <f aca="false">E499</f>
        <v>293.94</v>
      </c>
      <c r="F500" s="26" t="n">
        <v>98.82</v>
      </c>
      <c r="G500" s="26" t="n">
        <f aca="false">F500*1.25</f>
        <v>123.525</v>
      </c>
      <c r="H500" s="16" t="n">
        <f aca="false">J500*0.6</f>
        <v>21786.24492</v>
      </c>
      <c r="I500" s="16" t="n">
        <f aca="false">J500*0.4</f>
        <v>14524.16328</v>
      </c>
      <c r="J500" s="16" t="n">
        <f aca="false">ROUND(E500,2)*(ROUND(G500,2))</f>
        <v>36310.4082</v>
      </c>
    </row>
    <row r="501" customFormat="false" ht="32.8" hidden="false" customHeight="false" outlineLevel="0" collapsed="false">
      <c r="A501" s="13" t="n">
        <v>100327</v>
      </c>
      <c r="B501" s="21" t="s">
        <v>712</v>
      </c>
      <c r="C501" s="13" t="s">
        <v>131</v>
      </c>
      <c r="D501" s="14" t="s">
        <v>38</v>
      </c>
      <c r="E501" s="15" t="n">
        <v>60.6</v>
      </c>
      <c r="F501" s="26" t="n">
        <v>68.88</v>
      </c>
      <c r="G501" s="26" t="n">
        <f aca="false">F501*1.25</f>
        <v>86.1</v>
      </c>
      <c r="H501" s="16" t="n">
        <f aca="false">J501*0.6</f>
        <v>3130.596</v>
      </c>
      <c r="I501" s="16" t="n">
        <f aca="false">J501*0.4</f>
        <v>2087.064</v>
      </c>
      <c r="J501" s="16" t="n">
        <f aca="false">ROUND(E501,2)*(ROUND(G501,2))</f>
        <v>5217.66</v>
      </c>
    </row>
    <row r="502" customFormat="false" ht="43.25" hidden="false" customHeight="false" outlineLevel="0" collapsed="false">
      <c r="A502" s="13" t="n">
        <v>101964</v>
      </c>
      <c r="B502" s="21" t="s">
        <v>713</v>
      </c>
      <c r="C502" s="13" t="s">
        <v>127</v>
      </c>
      <c r="D502" s="14" t="s">
        <v>23</v>
      </c>
      <c r="E502" s="15" t="n">
        <v>12.69</v>
      </c>
      <c r="F502" s="26" t="n">
        <v>143</v>
      </c>
      <c r="G502" s="26" t="n">
        <f aca="false">F502*1.25</f>
        <v>178.75</v>
      </c>
      <c r="H502" s="16" t="n">
        <f aca="false">J502*0.6</f>
        <v>1361.0025</v>
      </c>
      <c r="I502" s="16" t="n">
        <f aca="false">J502*0.4</f>
        <v>907.335</v>
      </c>
      <c r="J502" s="16" t="n">
        <f aca="false">ROUND(E502,2)*(ROUND(G502,2))</f>
        <v>2268.3375</v>
      </c>
    </row>
    <row r="503" customFormat="false" ht="32.8" hidden="false" customHeight="false" outlineLevel="0" collapsed="false">
      <c r="A503" s="13" t="n">
        <v>98546</v>
      </c>
      <c r="B503" s="21" t="s">
        <v>714</v>
      </c>
      <c r="C503" s="13" t="s">
        <v>129</v>
      </c>
      <c r="D503" s="14" t="s">
        <v>23</v>
      </c>
      <c r="E503" s="15" t="n">
        <v>12.69</v>
      </c>
      <c r="F503" s="26" t="n">
        <v>89.48</v>
      </c>
      <c r="G503" s="26" t="n">
        <f aca="false">F503*1.25</f>
        <v>111.85</v>
      </c>
      <c r="H503" s="16" t="n">
        <f aca="false">J503*0.6</f>
        <v>851.6259</v>
      </c>
      <c r="I503" s="16" t="n">
        <f aca="false">J503*0.4</f>
        <v>567.7506</v>
      </c>
      <c r="J503" s="16" t="n">
        <f aca="false">ROUND(E503,2)*(ROUND(G503,2))</f>
        <v>1419.3765</v>
      </c>
    </row>
    <row r="504" customFormat="false" ht="32.8" hidden="false" customHeight="false" outlineLevel="0" collapsed="false">
      <c r="A504" s="13" t="n">
        <v>96111</v>
      </c>
      <c r="B504" s="21" t="s">
        <v>715</v>
      </c>
      <c r="C504" s="13" t="s">
        <v>716</v>
      </c>
      <c r="D504" s="14" t="s">
        <v>23</v>
      </c>
      <c r="E504" s="15" t="n">
        <f aca="false">6.43+12.05</f>
        <v>18.48</v>
      </c>
      <c r="F504" s="26" t="n">
        <v>74.22</v>
      </c>
      <c r="G504" s="26" t="n">
        <f aca="false">F504*1.25</f>
        <v>92.775</v>
      </c>
      <c r="H504" s="16" t="n">
        <f aca="false">J504*0.6</f>
        <v>1028.74464</v>
      </c>
      <c r="I504" s="16" t="n">
        <f aca="false">J504*0.4</f>
        <v>685.82976</v>
      </c>
      <c r="J504" s="16" t="n">
        <f aca="false">ROUND(E504,2)*(ROUND(G504,2))</f>
        <v>1714.5744</v>
      </c>
    </row>
    <row r="505" customFormat="false" ht="13.8" hidden="false" customHeight="false" outlineLevel="0" collapsed="false">
      <c r="A505" s="18"/>
      <c r="B505" s="18"/>
      <c r="C505" s="18"/>
      <c r="D505" s="18"/>
      <c r="E505" s="18"/>
      <c r="F505" s="18"/>
      <c r="G505" s="18"/>
      <c r="H505" s="18"/>
      <c r="I505" s="19" t="s">
        <v>32</v>
      </c>
      <c r="J505" s="20" t="n">
        <f aca="false">SUM(J494:J504)</f>
        <v>111248.9116</v>
      </c>
    </row>
    <row r="506" customFormat="false" ht="13.8" hidden="false" customHeight="false" outlineLevel="0" collapsed="false">
      <c r="A506" s="11" t="s">
        <v>717</v>
      </c>
      <c r="B506" s="11"/>
      <c r="C506" s="11"/>
      <c r="D506" s="11"/>
      <c r="E506" s="11"/>
      <c r="F506" s="11"/>
      <c r="G506" s="11"/>
      <c r="H506" s="11"/>
      <c r="I506" s="11"/>
      <c r="J506" s="11"/>
    </row>
    <row r="507" customFormat="false" ht="22.35" hidden="false" customHeight="false" outlineLevel="0" collapsed="false">
      <c r="A507" s="34" t="s">
        <v>718</v>
      </c>
      <c r="B507" s="32" t="s">
        <v>121</v>
      </c>
      <c r="C507" s="33" t="s">
        <v>294</v>
      </c>
      <c r="D507" s="34" t="s">
        <v>295</v>
      </c>
      <c r="E507" s="15" t="n">
        <v>43</v>
      </c>
      <c r="F507" s="16" t="n">
        <v>10.39</v>
      </c>
      <c r="G507" s="16" t="n">
        <f aca="false">F507*1.25</f>
        <v>12.9875</v>
      </c>
      <c r="H507" s="16" t="n">
        <f aca="false">J507*0.6</f>
        <v>335.142</v>
      </c>
      <c r="I507" s="16" t="n">
        <f aca="false">J507*0.4</f>
        <v>223.428</v>
      </c>
      <c r="J507" s="16" t="n">
        <f aca="false">ROUND(E507,2)*(ROUND(G507,2))</f>
        <v>558.57</v>
      </c>
    </row>
    <row r="508" customFormat="false" ht="22.35" hidden="false" customHeight="false" outlineLevel="0" collapsed="false">
      <c r="A508" s="34" t="s">
        <v>719</v>
      </c>
      <c r="B508" s="32" t="s">
        <v>122</v>
      </c>
      <c r="C508" s="33" t="s">
        <v>297</v>
      </c>
      <c r="D508" s="34" t="s">
        <v>295</v>
      </c>
      <c r="E508" s="15" t="n">
        <v>1</v>
      </c>
      <c r="F508" s="16" t="n">
        <v>29.37</v>
      </c>
      <c r="G508" s="16" t="n">
        <f aca="false">F508*1.25</f>
        <v>36.7125</v>
      </c>
      <c r="H508" s="16" t="n">
        <f aca="false">J508*0.6</f>
        <v>22.026</v>
      </c>
      <c r="I508" s="16" t="n">
        <f aca="false">J508*0.4</f>
        <v>14.684</v>
      </c>
      <c r="J508" s="16" t="n">
        <f aca="false">ROUND(E508,2)*(ROUND(G508,2))</f>
        <v>36.71</v>
      </c>
    </row>
    <row r="509" customFormat="false" ht="32.8" hidden="false" customHeight="false" outlineLevel="0" collapsed="false">
      <c r="A509" s="34" t="s">
        <v>301</v>
      </c>
      <c r="B509" s="32" t="s">
        <v>123</v>
      </c>
      <c r="C509" s="33" t="s">
        <v>303</v>
      </c>
      <c r="D509" s="34" t="s">
        <v>295</v>
      </c>
      <c r="E509" s="15" t="n">
        <v>23</v>
      </c>
      <c r="F509" s="16" t="n">
        <v>8.94</v>
      </c>
      <c r="G509" s="16" t="n">
        <f aca="false">F509*1.25</f>
        <v>11.175</v>
      </c>
      <c r="H509" s="16" t="n">
        <f aca="false">J509*0.6</f>
        <v>154.284</v>
      </c>
      <c r="I509" s="16" t="n">
        <f aca="false">J509*0.4</f>
        <v>102.856</v>
      </c>
      <c r="J509" s="16" t="n">
        <f aca="false">ROUND(E509,2)*(ROUND(G509,2))</f>
        <v>257.14</v>
      </c>
    </row>
    <row r="510" customFormat="false" ht="32.8" hidden="false" customHeight="false" outlineLevel="0" collapsed="false">
      <c r="A510" s="34" t="s">
        <v>307</v>
      </c>
      <c r="B510" s="32" t="s">
        <v>124</v>
      </c>
      <c r="C510" s="33" t="s">
        <v>309</v>
      </c>
      <c r="D510" s="34" t="s">
        <v>295</v>
      </c>
      <c r="E510" s="15" t="n">
        <v>11</v>
      </c>
      <c r="F510" s="16" t="n">
        <v>24.09</v>
      </c>
      <c r="G510" s="16" t="n">
        <f aca="false">F510*1.25</f>
        <v>30.1125</v>
      </c>
      <c r="H510" s="16" t="n">
        <f aca="false">J510*0.6</f>
        <v>198.726</v>
      </c>
      <c r="I510" s="16" t="n">
        <f aca="false">J510*0.4</f>
        <v>132.484</v>
      </c>
      <c r="J510" s="16" t="n">
        <f aca="false">ROUND(E510,2)*(ROUND(G510,2))</f>
        <v>331.21</v>
      </c>
    </row>
    <row r="511" customFormat="false" ht="43.25" hidden="false" customHeight="false" outlineLevel="0" collapsed="false">
      <c r="A511" s="34" t="s">
        <v>310</v>
      </c>
      <c r="B511" s="32" t="s">
        <v>125</v>
      </c>
      <c r="C511" s="33" t="s">
        <v>312</v>
      </c>
      <c r="D511" s="34" t="s">
        <v>295</v>
      </c>
      <c r="E511" s="15" t="n">
        <v>1</v>
      </c>
      <c r="F511" s="16" t="n">
        <v>22.46</v>
      </c>
      <c r="G511" s="16" t="n">
        <f aca="false">F511*1.25</f>
        <v>28.075</v>
      </c>
      <c r="H511" s="16" t="n">
        <f aca="false">J511*0.6</f>
        <v>16.848</v>
      </c>
      <c r="I511" s="16" t="n">
        <f aca="false">J511*0.4</f>
        <v>11.232</v>
      </c>
      <c r="J511" s="16" t="n">
        <f aca="false">ROUND(E511,2)*(ROUND(G511,2))</f>
        <v>28.08</v>
      </c>
    </row>
    <row r="512" customFormat="false" ht="22.35" hidden="false" customHeight="false" outlineLevel="0" collapsed="false">
      <c r="A512" s="34" t="s">
        <v>313</v>
      </c>
      <c r="B512" s="32" t="s">
        <v>126</v>
      </c>
      <c r="C512" s="33" t="s">
        <v>315</v>
      </c>
      <c r="D512" s="34" t="s">
        <v>295</v>
      </c>
      <c r="E512" s="15" t="n">
        <v>6</v>
      </c>
      <c r="F512" s="16" t="n">
        <v>13.38</v>
      </c>
      <c r="G512" s="16" t="n">
        <f aca="false">F512*1.25</f>
        <v>16.725</v>
      </c>
      <c r="H512" s="16" t="n">
        <f aca="false">J512*0.6</f>
        <v>60.228</v>
      </c>
      <c r="I512" s="16" t="n">
        <f aca="false">J512*0.4</f>
        <v>40.152</v>
      </c>
      <c r="J512" s="16" t="n">
        <f aca="false">ROUND(E512,2)*(ROUND(G512,2))</f>
        <v>100.38</v>
      </c>
    </row>
    <row r="513" customFormat="false" ht="22.35" hidden="false" customHeight="false" outlineLevel="0" collapsed="false">
      <c r="A513" s="34" t="s">
        <v>316</v>
      </c>
      <c r="B513" s="32" t="s">
        <v>128</v>
      </c>
      <c r="C513" s="33" t="s">
        <v>318</v>
      </c>
      <c r="D513" s="34" t="s">
        <v>295</v>
      </c>
      <c r="E513" s="15" t="n">
        <v>4</v>
      </c>
      <c r="F513" s="16" t="n">
        <v>11.83</v>
      </c>
      <c r="G513" s="16" t="n">
        <f aca="false">F513*1.25</f>
        <v>14.7875</v>
      </c>
      <c r="H513" s="16" t="n">
        <f aca="false">J513*0.6</f>
        <v>35.496</v>
      </c>
      <c r="I513" s="16" t="n">
        <f aca="false">J513*0.4</f>
        <v>23.664</v>
      </c>
      <c r="J513" s="16" t="n">
        <f aca="false">ROUND(E513,2)*(ROUND(G513,2))</f>
        <v>59.16</v>
      </c>
    </row>
    <row r="514" customFormat="false" ht="32.8" hidden="false" customHeight="false" outlineLevel="0" collapsed="false">
      <c r="A514" s="34" t="s">
        <v>325</v>
      </c>
      <c r="B514" s="32" t="s">
        <v>130</v>
      </c>
      <c r="C514" s="33" t="s">
        <v>327</v>
      </c>
      <c r="D514" s="34" t="s">
        <v>38</v>
      </c>
      <c r="E514" s="15" t="n">
        <v>270</v>
      </c>
      <c r="F514" s="16" t="n">
        <v>5.29</v>
      </c>
      <c r="G514" s="16" t="n">
        <f aca="false">F514*1.25</f>
        <v>6.6125</v>
      </c>
      <c r="H514" s="16" t="n">
        <f aca="false">J514*0.6</f>
        <v>1070.82</v>
      </c>
      <c r="I514" s="16" t="n">
        <f aca="false">J514*0.4</f>
        <v>713.88</v>
      </c>
      <c r="J514" s="16" t="n">
        <f aca="false">ROUND(E514,2)*(ROUND(G514,2))</f>
        <v>1784.7</v>
      </c>
    </row>
    <row r="515" customFormat="false" ht="32.8" hidden="false" customHeight="false" outlineLevel="0" collapsed="false">
      <c r="A515" s="34" t="s">
        <v>328</v>
      </c>
      <c r="B515" s="32" t="s">
        <v>132</v>
      </c>
      <c r="C515" s="33" t="s">
        <v>330</v>
      </c>
      <c r="D515" s="34" t="s">
        <v>38</v>
      </c>
      <c r="E515" s="15" t="n">
        <v>150</v>
      </c>
      <c r="F515" s="16" t="n">
        <v>6.11</v>
      </c>
      <c r="G515" s="16" t="n">
        <f aca="false">F515*1.25</f>
        <v>7.6375</v>
      </c>
      <c r="H515" s="16" t="n">
        <f aca="false">J515*0.6</f>
        <v>687.6</v>
      </c>
      <c r="I515" s="16" t="n">
        <f aca="false">J515*0.4</f>
        <v>458.4</v>
      </c>
      <c r="J515" s="16" t="n">
        <f aca="false">ROUND(E515,2)*(ROUND(G515,2))</f>
        <v>1146</v>
      </c>
    </row>
    <row r="516" customFormat="false" ht="32.8" hidden="false" customHeight="false" outlineLevel="0" collapsed="false">
      <c r="A516" s="34" t="s">
        <v>331</v>
      </c>
      <c r="B516" s="32" t="s">
        <v>134</v>
      </c>
      <c r="C516" s="33" t="s">
        <v>333</v>
      </c>
      <c r="D516" s="34" t="s">
        <v>38</v>
      </c>
      <c r="E516" s="15" t="n">
        <v>60</v>
      </c>
      <c r="F516" s="16" t="n">
        <v>7.39</v>
      </c>
      <c r="G516" s="16" t="n">
        <f aca="false">F516*1.25</f>
        <v>9.2375</v>
      </c>
      <c r="H516" s="16" t="n">
        <f aca="false">J516*0.6</f>
        <v>332.64</v>
      </c>
      <c r="I516" s="16" t="n">
        <f aca="false">J516*0.4</f>
        <v>221.76</v>
      </c>
      <c r="J516" s="16" t="n">
        <f aca="false">ROUND(E516,2)*(ROUND(G516,2))</f>
        <v>554.4</v>
      </c>
    </row>
    <row r="517" customFormat="false" ht="32.8" hidden="false" customHeight="false" outlineLevel="0" collapsed="false">
      <c r="A517" s="34" t="s">
        <v>334</v>
      </c>
      <c r="B517" s="32" t="s">
        <v>136</v>
      </c>
      <c r="C517" s="33" t="s">
        <v>336</v>
      </c>
      <c r="D517" s="34" t="s">
        <v>38</v>
      </c>
      <c r="E517" s="15" t="n">
        <v>200</v>
      </c>
      <c r="F517" s="16" t="n">
        <v>13.11</v>
      </c>
      <c r="G517" s="16" t="n">
        <f aca="false">F517*1.25</f>
        <v>16.3875</v>
      </c>
      <c r="H517" s="16" t="n">
        <f aca="false">J517*0.6</f>
        <v>1966.8</v>
      </c>
      <c r="I517" s="16" t="n">
        <f aca="false">J517*0.4</f>
        <v>1311.2</v>
      </c>
      <c r="J517" s="16" t="n">
        <f aca="false">ROUND(E517,2)*(ROUND(G517,2))</f>
        <v>3278</v>
      </c>
    </row>
    <row r="518" customFormat="false" ht="22.35" hidden="false" customHeight="false" outlineLevel="0" collapsed="false">
      <c r="A518" s="34" t="s">
        <v>337</v>
      </c>
      <c r="B518" s="32" t="s">
        <v>138</v>
      </c>
      <c r="C518" s="33" t="s">
        <v>339</v>
      </c>
      <c r="D518" s="34" t="s">
        <v>38</v>
      </c>
      <c r="E518" s="15" t="n">
        <v>70</v>
      </c>
      <c r="F518" s="16" t="n">
        <v>5.56</v>
      </c>
      <c r="G518" s="16" t="n">
        <f aca="false">F518*1.25</f>
        <v>6.95</v>
      </c>
      <c r="H518" s="16" t="n">
        <f aca="false">J518*0.6</f>
        <v>291.9</v>
      </c>
      <c r="I518" s="16" t="n">
        <f aca="false">J518*0.4</f>
        <v>194.6</v>
      </c>
      <c r="J518" s="16" t="n">
        <f aca="false">ROUND(E518,2)*(ROUND(G518,2))</f>
        <v>486.5</v>
      </c>
    </row>
    <row r="519" customFormat="false" ht="22.35" hidden="false" customHeight="false" outlineLevel="0" collapsed="false">
      <c r="A519" s="34" t="s">
        <v>340</v>
      </c>
      <c r="B519" s="32" t="s">
        <v>140</v>
      </c>
      <c r="C519" s="33" t="s">
        <v>342</v>
      </c>
      <c r="D519" s="34" t="s">
        <v>295</v>
      </c>
      <c r="E519" s="15" t="n">
        <v>87</v>
      </c>
      <c r="F519" s="16" t="n">
        <v>3.49</v>
      </c>
      <c r="G519" s="16" t="n">
        <f aca="false">F519*1.25</f>
        <v>4.3625</v>
      </c>
      <c r="H519" s="16" t="n">
        <f aca="false">J519*0.6</f>
        <v>227.592</v>
      </c>
      <c r="I519" s="16" t="n">
        <f aca="false">J519*0.4</f>
        <v>151.728</v>
      </c>
      <c r="J519" s="16" t="n">
        <f aca="false">ROUND(E519,2)*(ROUND(G519,2))</f>
        <v>379.32</v>
      </c>
    </row>
    <row r="520" customFormat="false" ht="32.8" hidden="false" customHeight="false" outlineLevel="0" collapsed="false">
      <c r="A520" s="34" t="s">
        <v>343</v>
      </c>
      <c r="B520" s="32" t="s">
        <v>720</v>
      </c>
      <c r="C520" s="33" t="s">
        <v>345</v>
      </c>
      <c r="D520" s="34" t="s">
        <v>38</v>
      </c>
      <c r="E520" s="15" t="n">
        <v>800</v>
      </c>
      <c r="F520" s="16" t="n">
        <v>3.99</v>
      </c>
      <c r="G520" s="16" t="n">
        <f aca="false">F520*1.25</f>
        <v>4.9875</v>
      </c>
      <c r="H520" s="16" t="n">
        <f aca="false">J520*0.6</f>
        <v>2395.2</v>
      </c>
      <c r="I520" s="16" t="n">
        <f aca="false">J520*0.4</f>
        <v>1596.8</v>
      </c>
      <c r="J520" s="16" t="n">
        <f aca="false">ROUND(E520,2)*(ROUND(G520,2))</f>
        <v>3992</v>
      </c>
    </row>
    <row r="521" customFormat="false" ht="43.25" hidden="false" customHeight="false" outlineLevel="0" collapsed="false">
      <c r="A521" s="34" t="s">
        <v>346</v>
      </c>
      <c r="B521" s="32" t="s">
        <v>721</v>
      </c>
      <c r="C521" s="33" t="s">
        <v>348</v>
      </c>
      <c r="D521" s="34" t="s">
        <v>38</v>
      </c>
      <c r="E521" s="15" t="n">
        <v>500</v>
      </c>
      <c r="F521" s="16" t="n">
        <v>3.94</v>
      </c>
      <c r="G521" s="16" t="n">
        <f aca="false">F521*1.25</f>
        <v>4.925</v>
      </c>
      <c r="H521" s="16" t="n">
        <f aca="false">J521*0.6</f>
        <v>1479</v>
      </c>
      <c r="I521" s="16" t="n">
        <f aca="false">J521*0.4</f>
        <v>986</v>
      </c>
      <c r="J521" s="16" t="n">
        <f aca="false">ROUND(E521,2)*(ROUND(G521,2))</f>
        <v>2465</v>
      </c>
    </row>
    <row r="522" customFormat="false" ht="32.8" hidden="false" customHeight="false" outlineLevel="0" collapsed="false">
      <c r="A522" s="34" t="s">
        <v>355</v>
      </c>
      <c r="B522" s="32" t="s">
        <v>722</v>
      </c>
      <c r="C522" s="33" t="s">
        <v>357</v>
      </c>
      <c r="D522" s="34" t="s">
        <v>295</v>
      </c>
      <c r="E522" s="15" t="n">
        <v>4</v>
      </c>
      <c r="F522" s="16" t="n">
        <v>16.27</v>
      </c>
      <c r="G522" s="16" t="n">
        <f aca="false">F522*1.25</f>
        <v>20.3375</v>
      </c>
      <c r="H522" s="16" t="n">
        <f aca="false">J522*0.6</f>
        <v>48.816</v>
      </c>
      <c r="I522" s="16" t="n">
        <f aca="false">J522*0.4</f>
        <v>32.544</v>
      </c>
      <c r="J522" s="16" t="n">
        <f aca="false">ROUND(E522,2)*(ROUND(G522,2))</f>
        <v>81.36</v>
      </c>
    </row>
    <row r="523" customFormat="false" ht="32.8" hidden="false" customHeight="false" outlineLevel="0" collapsed="false">
      <c r="A523" s="34" t="s">
        <v>358</v>
      </c>
      <c r="B523" s="32" t="s">
        <v>723</v>
      </c>
      <c r="C523" s="33" t="s">
        <v>360</v>
      </c>
      <c r="D523" s="34" t="s">
        <v>295</v>
      </c>
      <c r="E523" s="15" t="n">
        <v>5</v>
      </c>
      <c r="F523" s="16" t="n">
        <v>37.56</v>
      </c>
      <c r="G523" s="16" t="n">
        <f aca="false">F523*1.25</f>
        <v>46.95</v>
      </c>
      <c r="H523" s="16" t="n">
        <f aca="false">J523*0.6</f>
        <v>140.85</v>
      </c>
      <c r="I523" s="16" t="n">
        <f aca="false">J523*0.4</f>
        <v>93.9</v>
      </c>
      <c r="J523" s="16" t="n">
        <f aca="false">ROUND(E523,2)*(ROUND(G523,2))</f>
        <v>234.75</v>
      </c>
    </row>
    <row r="524" customFormat="false" ht="32.8" hidden="false" customHeight="false" outlineLevel="0" collapsed="false">
      <c r="A524" s="34" t="s">
        <v>361</v>
      </c>
      <c r="B524" s="32" t="s">
        <v>724</v>
      </c>
      <c r="C524" s="33" t="s">
        <v>363</v>
      </c>
      <c r="D524" s="34" t="s">
        <v>295</v>
      </c>
      <c r="E524" s="15" t="n">
        <v>1</v>
      </c>
      <c r="F524" s="16" t="n">
        <v>51.41</v>
      </c>
      <c r="G524" s="16" t="n">
        <f aca="false">F524*1.25</f>
        <v>64.2625</v>
      </c>
      <c r="H524" s="16" t="n">
        <f aca="false">J524*0.6</f>
        <v>38.556</v>
      </c>
      <c r="I524" s="16" t="n">
        <f aca="false">J524*0.4</f>
        <v>25.704</v>
      </c>
      <c r="J524" s="16" t="n">
        <f aca="false">ROUND(E524,2)*(ROUND(G524,2))</f>
        <v>64.26</v>
      </c>
    </row>
    <row r="525" customFormat="false" ht="32.8" hidden="false" customHeight="false" outlineLevel="0" collapsed="false">
      <c r="A525" s="34" t="s">
        <v>364</v>
      </c>
      <c r="B525" s="32" t="s">
        <v>725</v>
      </c>
      <c r="C525" s="33" t="s">
        <v>366</v>
      </c>
      <c r="D525" s="34" t="s">
        <v>295</v>
      </c>
      <c r="E525" s="15" t="n">
        <v>23</v>
      </c>
      <c r="F525" s="16" t="n">
        <v>27.39</v>
      </c>
      <c r="G525" s="16" t="n">
        <f aca="false">F525*1.25</f>
        <v>34.2375</v>
      </c>
      <c r="H525" s="16" t="n">
        <f aca="false">J525*0.6</f>
        <v>472.512</v>
      </c>
      <c r="I525" s="16" t="n">
        <f aca="false">J525*0.4</f>
        <v>315.008</v>
      </c>
      <c r="J525" s="16" t="n">
        <f aca="false">ROUND(E525,2)*(ROUND(G525,2))</f>
        <v>787.52</v>
      </c>
    </row>
    <row r="526" customFormat="false" ht="32.8" hidden="false" customHeight="false" outlineLevel="0" collapsed="false">
      <c r="A526" s="34" t="s">
        <v>370</v>
      </c>
      <c r="B526" s="32" t="s">
        <v>726</v>
      </c>
      <c r="C526" s="33" t="s">
        <v>372</v>
      </c>
      <c r="D526" s="34" t="s">
        <v>295</v>
      </c>
      <c r="E526" s="15" t="n">
        <v>10</v>
      </c>
      <c r="F526" s="16" t="n">
        <v>37.97</v>
      </c>
      <c r="G526" s="16" t="n">
        <f aca="false">F526*1.25</f>
        <v>47.4625</v>
      </c>
      <c r="H526" s="16" t="n">
        <f aca="false">J526*0.6</f>
        <v>284.76</v>
      </c>
      <c r="I526" s="16" t="n">
        <f aca="false">J526*0.4</f>
        <v>189.84</v>
      </c>
      <c r="J526" s="16" t="n">
        <f aca="false">ROUND(E526,2)*(ROUND(G526,2))</f>
        <v>474.6</v>
      </c>
    </row>
    <row r="527" customFormat="false" ht="22.35" hidden="false" customHeight="false" outlineLevel="0" collapsed="false">
      <c r="A527" s="13" t="s">
        <v>159</v>
      </c>
      <c r="B527" s="32" t="s">
        <v>727</v>
      </c>
      <c r="C527" s="35" t="s">
        <v>374</v>
      </c>
      <c r="D527" s="34" t="s">
        <v>295</v>
      </c>
      <c r="E527" s="15" t="n">
        <v>9</v>
      </c>
      <c r="F527" s="16" t="n">
        <v>51.8</v>
      </c>
      <c r="G527" s="16" t="n">
        <f aca="false">F527*1.25</f>
        <v>64.75</v>
      </c>
      <c r="H527" s="16" t="n">
        <f aca="false">J527*0.6</f>
        <v>349.65</v>
      </c>
      <c r="I527" s="16" t="n">
        <f aca="false">J527*0.4</f>
        <v>233.1</v>
      </c>
      <c r="J527" s="16" t="n">
        <f aca="false">ROUND(E527,2)*(ROUND(G527,2))</f>
        <v>582.75</v>
      </c>
    </row>
    <row r="528" customFormat="false" ht="32.8" hidden="false" customHeight="false" outlineLevel="0" collapsed="false">
      <c r="A528" s="13" t="s">
        <v>159</v>
      </c>
      <c r="B528" s="32" t="s">
        <v>728</v>
      </c>
      <c r="C528" s="35" t="s">
        <v>729</v>
      </c>
      <c r="D528" s="34" t="s">
        <v>295</v>
      </c>
      <c r="E528" s="15" t="n">
        <v>24</v>
      </c>
      <c r="F528" s="16" t="n">
        <v>129</v>
      </c>
      <c r="G528" s="16" t="n">
        <f aca="false">F528*1.25</f>
        <v>161.25</v>
      </c>
      <c r="H528" s="16" t="n">
        <f aca="false">J528*0.6</f>
        <v>2322</v>
      </c>
      <c r="I528" s="16" t="n">
        <f aca="false">J528*0.4</f>
        <v>1548</v>
      </c>
      <c r="J528" s="16" t="n">
        <f aca="false">ROUND(E528,2)*(ROUND(G528,2))</f>
        <v>3870</v>
      </c>
    </row>
    <row r="529" customFormat="false" ht="22.35" hidden="false" customHeight="false" outlineLevel="0" collapsed="false">
      <c r="A529" s="34" t="s">
        <v>375</v>
      </c>
      <c r="B529" s="32" t="s">
        <v>730</v>
      </c>
      <c r="C529" s="35" t="s">
        <v>377</v>
      </c>
      <c r="D529" s="34" t="s">
        <v>295</v>
      </c>
      <c r="E529" s="15" t="n">
        <v>10</v>
      </c>
      <c r="F529" s="16" t="n">
        <v>26.46</v>
      </c>
      <c r="G529" s="16" t="n">
        <f aca="false">F529*1.25</f>
        <v>33.075</v>
      </c>
      <c r="H529" s="16" t="n">
        <f aca="false">J529*0.6</f>
        <v>198.48</v>
      </c>
      <c r="I529" s="16" t="n">
        <f aca="false">J529*0.4</f>
        <v>132.32</v>
      </c>
      <c r="J529" s="16" t="n">
        <f aca="false">ROUND(E529,2)*(ROUND(G529,2))</f>
        <v>330.8</v>
      </c>
    </row>
    <row r="530" customFormat="false" ht="32.8" hidden="false" customHeight="false" outlineLevel="0" collapsed="false">
      <c r="A530" s="13" t="s">
        <v>159</v>
      </c>
      <c r="B530" s="32" t="s">
        <v>731</v>
      </c>
      <c r="C530" s="33" t="s">
        <v>732</v>
      </c>
      <c r="D530" s="34" t="s">
        <v>380</v>
      </c>
      <c r="E530" s="15" t="n">
        <v>1</v>
      </c>
      <c r="F530" s="16" t="n">
        <v>100</v>
      </c>
      <c r="G530" s="16" t="n">
        <f aca="false">F530*1.25</f>
        <v>125</v>
      </c>
      <c r="H530" s="16" t="n">
        <f aca="false">J530*0.6</f>
        <v>75</v>
      </c>
      <c r="I530" s="16" t="n">
        <f aca="false">J530*0.4</f>
        <v>50</v>
      </c>
      <c r="J530" s="16" t="n">
        <f aca="false">ROUND(E530,2)*(ROUND(G530,2))</f>
        <v>125</v>
      </c>
    </row>
    <row r="531" customFormat="false" ht="32.8" hidden="false" customHeight="false" outlineLevel="0" collapsed="false">
      <c r="A531" s="33" t="s">
        <v>733</v>
      </c>
      <c r="B531" s="32" t="s">
        <v>734</v>
      </c>
      <c r="C531" s="33" t="s">
        <v>735</v>
      </c>
      <c r="D531" s="34" t="s">
        <v>736</v>
      </c>
      <c r="E531" s="15" t="n">
        <v>1</v>
      </c>
      <c r="F531" s="16" t="n">
        <v>16.22</v>
      </c>
      <c r="G531" s="16" t="n">
        <f aca="false">F531*1.25</f>
        <v>20.275</v>
      </c>
      <c r="H531" s="16" t="n">
        <f aca="false">J531*0.6</f>
        <v>12.168</v>
      </c>
      <c r="I531" s="16" t="n">
        <f aca="false">J531*0.4</f>
        <v>8.112</v>
      </c>
      <c r="J531" s="16" t="n">
        <f aca="false">ROUND(E531,2)*(ROUND(G531,2))</f>
        <v>20.28</v>
      </c>
    </row>
    <row r="532" customFormat="false" ht="22.35" hidden="false" customHeight="false" outlineLevel="0" collapsed="false">
      <c r="A532" s="34" t="s">
        <v>737</v>
      </c>
      <c r="B532" s="32" t="s">
        <v>738</v>
      </c>
      <c r="C532" s="33" t="s">
        <v>739</v>
      </c>
      <c r="D532" s="34" t="s">
        <v>736</v>
      </c>
      <c r="E532" s="15" t="n">
        <v>1</v>
      </c>
      <c r="F532" s="16" t="n">
        <v>501.24</v>
      </c>
      <c r="G532" s="16" t="n">
        <f aca="false">F532*1.25</f>
        <v>626.55</v>
      </c>
      <c r="H532" s="16" t="n">
        <f aca="false">J532*0.6</f>
        <v>375.93</v>
      </c>
      <c r="I532" s="16" t="n">
        <f aca="false">J532*0.4</f>
        <v>250.62</v>
      </c>
      <c r="J532" s="16" t="n">
        <f aca="false">ROUND(E532,2)*(ROUND(G532,2))</f>
        <v>626.55</v>
      </c>
    </row>
    <row r="533" customFormat="false" ht="22.35" hidden="false" customHeight="false" outlineLevel="0" collapsed="false">
      <c r="A533" s="34" t="s">
        <v>740</v>
      </c>
      <c r="B533" s="32" t="s">
        <v>741</v>
      </c>
      <c r="C533" s="33" t="s">
        <v>742</v>
      </c>
      <c r="D533" s="34" t="s">
        <v>380</v>
      </c>
      <c r="E533" s="15" t="n">
        <v>1</v>
      </c>
      <c r="F533" s="16" t="n">
        <v>45.61</v>
      </c>
      <c r="G533" s="16" t="n">
        <f aca="false">F533*1.25</f>
        <v>57.0125</v>
      </c>
      <c r="H533" s="16" t="n">
        <f aca="false">J533*0.6</f>
        <v>34.206</v>
      </c>
      <c r="I533" s="16" t="n">
        <f aca="false">J533*0.4</f>
        <v>22.804</v>
      </c>
      <c r="J533" s="16" t="n">
        <f aca="false">ROUND(E533,2)*(ROUND(G533,2))</f>
        <v>57.01</v>
      </c>
    </row>
    <row r="534" customFormat="false" ht="22.35" hidden="false" customHeight="false" outlineLevel="0" collapsed="false">
      <c r="A534" s="34" t="s">
        <v>743</v>
      </c>
      <c r="B534" s="32" t="s">
        <v>744</v>
      </c>
      <c r="C534" s="33" t="s">
        <v>745</v>
      </c>
      <c r="D534" s="34" t="s">
        <v>380</v>
      </c>
      <c r="E534" s="15" t="n">
        <v>1</v>
      </c>
      <c r="F534" s="16" t="n">
        <v>29.46</v>
      </c>
      <c r="G534" s="16" t="n">
        <f aca="false">F534*1.25</f>
        <v>36.825</v>
      </c>
      <c r="H534" s="16" t="n">
        <f aca="false">J534*0.6</f>
        <v>22.098</v>
      </c>
      <c r="I534" s="16" t="n">
        <f aca="false">J534*0.4</f>
        <v>14.732</v>
      </c>
      <c r="J534" s="16" t="n">
        <f aca="false">ROUND(E534,2)*(ROUND(G534,2))</f>
        <v>36.83</v>
      </c>
    </row>
    <row r="535" customFormat="false" ht="13.8" hidden="false" customHeight="false" outlineLevel="0" collapsed="false">
      <c r="A535" s="18"/>
      <c r="B535" s="18"/>
      <c r="C535" s="18"/>
      <c r="D535" s="18"/>
      <c r="E535" s="18"/>
      <c r="F535" s="18"/>
      <c r="G535" s="18"/>
      <c r="H535" s="18"/>
      <c r="I535" s="19" t="s">
        <v>32</v>
      </c>
      <c r="J535" s="20" t="n">
        <f aca="false">SUM(J507:J534)</f>
        <v>22748.88</v>
      </c>
    </row>
    <row r="536" customFormat="false" ht="13.8" hidden="false" customHeight="false" outlineLevel="0" collapsed="false">
      <c r="A536" s="11" t="s">
        <v>746</v>
      </c>
      <c r="B536" s="11"/>
      <c r="C536" s="11"/>
      <c r="D536" s="11"/>
      <c r="E536" s="11"/>
      <c r="F536" s="11"/>
      <c r="G536" s="11"/>
      <c r="H536" s="11"/>
      <c r="I536" s="11"/>
      <c r="J536" s="11"/>
    </row>
    <row r="537" customFormat="false" ht="22.35" hidden="false" customHeight="false" outlineLevel="0" collapsed="false">
      <c r="A537" s="13" t="n">
        <v>99814</v>
      </c>
      <c r="B537" s="21" t="s">
        <v>143</v>
      </c>
      <c r="C537" s="9" t="s">
        <v>211</v>
      </c>
      <c r="D537" s="21" t="s">
        <v>23</v>
      </c>
      <c r="E537" s="29" t="n">
        <f aca="false">(13.6+5+7.95+13+29.25+1.2)*3</f>
        <v>210</v>
      </c>
      <c r="F537" s="16" t="n">
        <v>1.6</v>
      </c>
      <c r="G537" s="30" t="n">
        <f aca="false">F537*1.25</f>
        <v>2</v>
      </c>
      <c r="H537" s="16" t="n">
        <f aca="false">J537*0.6</f>
        <v>252</v>
      </c>
      <c r="I537" s="16" t="n">
        <f aca="false">J537*0.4</f>
        <v>168</v>
      </c>
      <c r="J537" s="16" t="n">
        <f aca="false">ROUND(E537,2)*(ROUND(G537,2))</f>
        <v>420</v>
      </c>
    </row>
    <row r="538" customFormat="false" ht="22.35" hidden="false" customHeight="false" outlineLevel="0" collapsed="false">
      <c r="A538" s="13" t="n">
        <v>102193</v>
      </c>
      <c r="B538" s="21" t="s">
        <v>145</v>
      </c>
      <c r="C538" s="9" t="s">
        <v>213</v>
      </c>
      <c r="D538" s="21" t="s">
        <v>23</v>
      </c>
      <c r="E538" s="29" t="n">
        <f aca="false">E537</f>
        <v>210</v>
      </c>
      <c r="F538" s="16" t="n">
        <v>1.52</v>
      </c>
      <c r="G538" s="30" t="n">
        <f aca="false">F538*1.25</f>
        <v>1.9</v>
      </c>
      <c r="H538" s="16" t="n">
        <f aca="false">J538*0.6</f>
        <v>239.4</v>
      </c>
      <c r="I538" s="16" t="n">
        <f aca="false">J538*0.4</f>
        <v>159.6</v>
      </c>
      <c r="J538" s="16" t="n">
        <f aca="false">ROUND(E538,2)*(ROUND(G538,2))</f>
        <v>399</v>
      </c>
    </row>
    <row r="539" customFormat="false" ht="13.8" hidden="false" customHeight="false" outlineLevel="0" collapsed="false">
      <c r="A539" s="12" t="n">
        <v>100718</v>
      </c>
      <c r="B539" s="21" t="s">
        <v>147</v>
      </c>
      <c r="C539" s="13" t="s">
        <v>215</v>
      </c>
      <c r="D539" s="15" t="s">
        <v>38</v>
      </c>
      <c r="E539" s="15" t="n">
        <v>100</v>
      </c>
      <c r="F539" s="16" t="n">
        <v>1.07</v>
      </c>
      <c r="G539" s="30" t="n">
        <f aca="false">F539*1.25</f>
        <v>1.3375</v>
      </c>
      <c r="H539" s="16" t="n">
        <f aca="false">J539*0.6</f>
        <v>80.4</v>
      </c>
      <c r="I539" s="16" t="n">
        <f aca="false">J539*0.4</f>
        <v>53.6</v>
      </c>
      <c r="J539" s="16" t="n">
        <f aca="false">ROUND(E539,2)*(ROUND(G539,2))</f>
        <v>134</v>
      </c>
    </row>
    <row r="540" customFormat="false" ht="22.35" hidden="false" customHeight="false" outlineLevel="0" collapsed="false">
      <c r="A540" s="12" t="n">
        <v>88485</v>
      </c>
      <c r="B540" s="21" t="s">
        <v>149</v>
      </c>
      <c r="C540" s="13" t="s">
        <v>217</v>
      </c>
      <c r="D540" s="15" t="s">
        <v>23</v>
      </c>
      <c r="E540" s="15" t="n">
        <f aca="false">E537</f>
        <v>210</v>
      </c>
      <c r="F540" s="16" t="n">
        <v>2.08</v>
      </c>
      <c r="G540" s="30" t="n">
        <f aca="false">F540*1.25</f>
        <v>2.6</v>
      </c>
      <c r="H540" s="16" t="n">
        <f aca="false">J540*0.6</f>
        <v>327.6</v>
      </c>
      <c r="I540" s="16" t="n">
        <f aca="false">J540*0.4</f>
        <v>218.4</v>
      </c>
      <c r="J540" s="16" t="n">
        <f aca="false">ROUND(E540,2)*(ROUND(G540,2))</f>
        <v>546</v>
      </c>
    </row>
    <row r="541" customFormat="false" ht="22.35" hidden="false" customHeight="false" outlineLevel="0" collapsed="false">
      <c r="A541" s="12" t="n">
        <v>88489</v>
      </c>
      <c r="B541" s="21" t="s">
        <v>151</v>
      </c>
      <c r="C541" s="13" t="s">
        <v>219</v>
      </c>
      <c r="D541" s="15" t="s">
        <v>23</v>
      </c>
      <c r="E541" s="15" t="n">
        <f aca="false">E540</f>
        <v>210</v>
      </c>
      <c r="F541" s="16" t="n">
        <v>13.85</v>
      </c>
      <c r="G541" s="30" t="n">
        <f aca="false">F541*1.25</f>
        <v>17.3125</v>
      </c>
      <c r="H541" s="16" t="n">
        <f aca="false">J541*0.6</f>
        <v>2181.06</v>
      </c>
      <c r="I541" s="16" t="n">
        <f aca="false">J541*0.4</f>
        <v>1454.04</v>
      </c>
      <c r="J541" s="16" t="n">
        <f aca="false">ROUND(E541,2)*(ROUND(G541,2))</f>
        <v>3635.1</v>
      </c>
    </row>
    <row r="542" customFormat="false" ht="13.8" hidden="false" customHeight="false" outlineLevel="0" collapsed="false">
      <c r="A542" s="18"/>
      <c r="B542" s="18"/>
      <c r="C542" s="18"/>
      <c r="D542" s="18"/>
      <c r="E542" s="18"/>
      <c r="F542" s="18"/>
      <c r="G542" s="18"/>
      <c r="H542" s="18"/>
      <c r="I542" s="19" t="s">
        <v>32</v>
      </c>
      <c r="J542" s="20" t="n">
        <f aca="false">SUM(J537:J541)</f>
        <v>5134.1</v>
      </c>
    </row>
    <row r="543" customFormat="false" ht="13.8" hidden="false" customHeight="false" outlineLevel="0" collapsed="false">
      <c r="A543" s="11" t="s">
        <v>747</v>
      </c>
      <c r="B543" s="11"/>
      <c r="C543" s="11"/>
      <c r="D543" s="11"/>
      <c r="E543" s="11"/>
      <c r="F543" s="11"/>
      <c r="G543" s="11"/>
      <c r="H543" s="11"/>
      <c r="I543" s="11"/>
      <c r="J543" s="11"/>
    </row>
    <row r="544" customFormat="false" ht="22.35" hidden="false" customHeight="false" outlineLevel="0" collapsed="false">
      <c r="A544" s="12" t="n">
        <v>97633</v>
      </c>
      <c r="B544" s="21" t="s">
        <v>748</v>
      </c>
      <c r="C544" s="13" t="s">
        <v>456</v>
      </c>
      <c r="D544" s="14" t="s">
        <v>23</v>
      </c>
      <c r="E544" s="15" t="n">
        <f aca="false">88.5+24.15</f>
        <v>112.65</v>
      </c>
      <c r="F544" s="16" t="n">
        <v>18.24</v>
      </c>
      <c r="G544" s="16" t="n">
        <f aca="false">F544*1.25</f>
        <v>22.8</v>
      </c>
      <c r="H544" s="16" t="n">
        <f aca="false">J544*0.6</f>
        <v>1541.052</v>
      </c>
      <c r="I544" s="16" t="n">
        <f aca="false">J544*0.4</f>
        <v>1027.368</v>
      </c>
      <c r="J544" s="16" t="n">
        <f aca="false">ROUND(E544,2)*(ROUND(G544,2))</f>
        <v>2568.42</v>
      </c>
    </row>
    <row r="545" customFormat="false" ht="22.35" hidden="false" customHeight="false" outlineLevel="0" collapsed="false">
      <c r="A545" s="13" t="n">
        <v>96622</v>
      </c>
      <c r="B545" s="21" t="s">
        <v>749</v>
      </c>
      <c r="C545" s="13" t="s">
        <v>750</v>
      </c>
      <c r="D545" s="15" t="s">
        <v>41</v>
      </c>
      <c r="E545" s="15" t="n">
        <f aca="false">118.9*0.05</f>
        <v>5.945</v>
      </c>
      <c r="F545" s="16" t="n">
        <v>96.33</v>
      </c>
      <c r="G545" s="16" t="n">
        <f aca="false">F545*1.25</f>
        <v>120.4125</v>
      </c>
      <c r="H545" s="15" t="n">
        <f aca="false">J545*0.6</f>
        <v>429.8637</v>
      </c>
      <c r="I545" s="15" t="n">
        <f aca="false">J545*0.4</f>
        <v>286.5758</v>
      </c>
      <c r="J545" s="16" t="n">
        <f aca="false">ROUND(E545,2)*(ROUND(G545,2))</f>
        <v>716.4395</v>
      </c>
    </row>
    <row r="546" customFormat="false" ht="53.7" hidden="false" customHeight="false" outlineLevel="0" collapsed="false">
      <c r="A546" s="13" t="n">
        <v>94991</v>
      </c>
      <c r="B546" s="21" t="s">
        <v>751</v>
      </c>
      <c r="C546" s="13" t="s">
        <v>752</v>
      </c>
      <c r="D546" s="15" t="s">
        <v>41</v>
      </c>
      <c r="E546" s="15" t="n">
        <f aca="false">118.9*0.05</f>
        <v>5.945</v>
      </c>
      <c r="F546" s="16" t="n">
        <v>553.77</v>
      </c>
      <c r="G546" s="16" t="n">
        <f aca="false">F546*1.25</f>
        <v>692.2125</v>
      </c>
      <c r="H546" s="15" t="n">
        <f aca="false">J546*0.6</f>
        <v>2471.1897</v>
      </c>
      <c r="I546" s="15" t="n">
        <f aca="false">J546*0.4</f>
        <v>1647.4598</v>
      </c>
      <c r="J546" s="16" t="n">
        <f aca="false">ROUND(E546,2)*(ROUND(G546,2))</f>
        <v>4118.6495</v>
      </c>
    </row>
    <row r="547" customFormat="false" ht="13.8" hidden="false" customHeight="false" outlineLevel="0" collapsed="false">
      <c r="A547" s="13" t="s">
        <v>753</v>
      </c>
      <c r="B547" s="21" t="s">
        <v>754</v>
      </c>
      <c r="C547" s="13" t="s">
        <v>755</v>
      </c>
      <c r="D547" s="15" t="s">
        <v>53</v>
      </c>
      <c r="E547" s="15" t="n">
        <f aca="false">(118.9*5)+0.5</f>
        <v>595</v>
      </c>
      <c r="F547" s="16" t="n">
        <f aca="false">1.56+(1.56*0.4)</f>
        <v>2.184</v>
      </c>
      <c r="G547" s="16" t="n">
        <f aca="false">F547*1.25</f>
        <v>2.73</v>
      </c>
      <c r="H547" s="26" t="n">
        <f aca="false">J547*0.6</f>
        <v>974.61</v>
      </c>
      <c r="I547" s="26" t="n">
        <f aca="false">J547*0.4</f>
        <v>649.74</v>
      </c>
      <c r="J547" s="16" t="n">
        <f aca="false">ROUND(E547,2)*(ROUND(G547,2))</f>
        <v>1624.35</v>
      </c>
    </row>
    <row r="548" customFormat="false" ht="32.8" hidden="false" customHeight="false" outlineLevel="0" collapsed="false">
      <c r="A548" s="13" t="s">
        <v>159</v>
      </c>
      <c r="B548" s="21" t="s">
        <v>756</v>
      </c>
      <c r="C548" s="13" t="s">
        <v>757</v>
      </c>
      <c r="D548" s="15" t="s">
        <v>23</v>
      </c>
      <c r="E548" s="15" t="n">
        <f aca="false">53.5+36.08+5.17+24.15</f>
        <v>118.9</v>
      </c>
      <c r="F548" s="16" t="n">
        <f aca="false">32+(32*0.4)</f>
        <v>44.8</v>
      </c>
      <c r="G548" s="16" t="n">
        <f aca="false">F548*1.25</f>
        <v>56</v>
      </c>
      <c r="H548" s="15" t="n">
        <f aca="false">J548*0.6</f>
        <v>3995.04</v>
      </c>
      <c r="I548" s="15" t="n">
        <f aca="false">J548*0.4</f>
        <v>2663.36</v>
      </c>
      <c r="J548" s="16" t="n">
        <f aca="false">ROUND(E548,2)*(ROUND(G548,2))</f>
        <v>6658.4</v>
      </c>
    </row>
    <row r="549" customFormat="false" ht="13.9" hidden="false" customHeight="true" outlineLevel="0" collapsed="false">
      <c r="A549" s="13" t="s">
        <v>758</v>
      </c>
      <c r="B549" s="21" t="s">
        <v>759</v>
      </c>
      <c r="C549" s="13" t="s">
        <v>760</v>
      </c>
      <c r="D549" s="15" t="s">
        <v>53</v>
      </c>
      <c r="E549" s="15" t="n">
        <f aca="false">(E548/3)+0.37</f>
        <v>40.0033333333333</v>
      </c>
      <c r="F549" s="16" t="n">
        <f aca="false">2.99+(2.99*0.4)</f>
        <v>4.186</v>
      </c>
      <c r="G549" s="16" t="n">
        <f aca="false">F549*1.25</f>
        <v>5.2325</v>
      </c>
      <c r="H549" s="26" t="n">
        <f aca="false">J549*0.6</f>
        <v>125.52</v>
      </c>
      <c r="I549" s="26" t="n">
        <f aca="false">J549*0.4</f>
        <v>83.68</v>
      </c>
      <c r="J549" s="16" t="n">
        <f aca="false">ROUND(E549,2)*(ROUND(G549,2))</f>
        <v>209.2</v>
      </c>
    </row>
    <row r="550" customFormat="false" ht="43.25" hidden="false" customHeight="false" outlineLevel="0" collapsed="false">
      <c r="A550" s="13" t="n">
        <v>101159</v>
      </c>
      <c r="B550" s="21" t="s">
        <v>761</v>
      </c>
      <c r="C550" s="13" t="s">
        <v>762</v>
      </c>
      <c r="D550" s="14" t="s">
        <v>23</v>
      </c>
      <c r="E550" s="15" t="n">
        <f aca="false">((2+0.5+2+0.5)*0.1)+((1+0.5+1+0.5)*0.1)</f>
        <v>0.8</v>
      </c>
      <c r="F550" s="16" t="n">
        <v>117.07</v>
      </c>
      <c r="G550" s="26" t="n">
        <f aca="false">F550*1.25</f>
        <v>146.3375</v>
      </c>
      <c r="H550" s="16" t="n">
        <f aca="false">J550*0.6</f>
        <v>70.2432</v>
      </c>
      <c r="I550" s="16" t="n">
        <f aca="false">J550*0.4</f>
        <v>46.8288</v>
      </c>
      <c r="J550" s="16" t="n">
        <f aca="false">ROUND(E550,2)*(ROUND(G550,2))</f>
        <v>117.072</v>
      </c>
    </row>
    <row r="551" customFormat="false" ht="32.8" hidden="false" customHeight="false" outlineLevel="0" collapsed="false">
      <c r="A551" s="31" t="n">
        <v>93358</v>
      </c>
      <c r="B551" s="21" t="s">
        <v>763</v>
      </c>
      <c r="C551" s="22" t="s">
        <v>764</v>
      </c>
      <c r="D551" s="14" t="s">
        <v>41</v>
      </c>
      <c r="E551" s="14" t="n">
        <f aca="false">(3.14*0.05^2*0.5)*4</f>
        <v>0.0157</v>
      </c>
      <c r="F551" s="16" t="n">
        <v>70.25</v>
      </c>
      <c r="G551" s="16" t="n">
        <f aca="false">F551*1.25</f>
        <v>87.8125</v>
      </c>
      <c r="H551" s="16" t="n">
        <f aca="false">J551*0.6</f>
        <v>1.05372</v>
      </c>
      <c r="I551" s="16" t="n">
        <f aca="false">J551*0.4</f>
        <v>0.70248</v>
      </c>
      <c r="J551" s="16" t="n">
        <f aca="false">ROUND(E551,2)*(ROUND(G551,2))</f>
        <v>1.7562</v>
      </c>
    </row>
    <row r="552" customFormat="false" ht="22.35" hidden="false" customHeight="false" outlineLevel="0" collapsed="false">
      <c r="A552" s="13" t="n">
        <v>9836</v>
      </c>
      <c r="B552" s="21" t="s">
        <v>765</v>
      </c>
      <c r="C552" s="13" t="s">
        <v>766</v>
      </c>
      <c r="D552" s="14" t="s">
        <v>38</v>
      </c>
      <c r="E552" s="15" t="n">
        <f aca="false">0.5*4</f>
        <v>2</v>
      </c>
      <c r="F552" s="16" t="n">
        <v>18.79</v>
      </c>
      <c r="G552" s="26" t="n">
        <f aca="false">F552*1.25</f>
        <v>23.4875</v>
      </c>
      <c r="H552" s="16" t="n">
        <f aca="false">J552*0.6</f>
        <v>28.188</v>
      </c>
      <c r="I552" s="16" t="n">
        <f aca="false">J552*0.4</f>
        <v>18.792</v>
      </c>
      <c r="J552" s="16" t="n">
        <f aca="false">ROUND(E552,2)*(ROUND(G552,2))</f>
        <v>46.98</v>
      </c>
    </row>
    <row r="553" customFormat="false" ht="32.8" hidden="false" customHeight="false" outlineLevel="0" collapsed="false">
      <c r="A553" s="21" t="n">
        <v>94964</v>
      </c>
      <c r="B553" s="21" t="s">
        <v>767</v>
      </c>
      <c r="C553" s="45" t="s">
        <v>768</v>
      </c>
      <c r="D553" s="14" t="s">
        <v>41</v>
      </c>
      <c r="E553" s="15" t="n">
        <f aca="false">(1*0.1)+(0.5*0.1)+(2*0.1*0.1)</f>
        <v>0.17</v>
      </c>
      <c r="F553" s="16" t="n">
        <v>361.86</v>
      </c>
      <c r="G553" s="16" t="n">
        <f aca="false">F553*1.25</f>
        <v>452.325</v>
      </c>
      <c r="H553" s="14" t="n">
        <f aca="false">J553*0.6</f>
        <v>46.13715</v>
      </c>
      <c r="I553" s="14" t="n">
        <f aca="false">J553*0.4</f>
        <v>30.7581</v>
      </c>
      <c r="J553" s="16" t="n">
        <f aca="false">G553*E553</f>
        <v>76.89525</v>
      </c>
    </row>
    <row r="554" customFormat="false" ht="32.8" hidden="false" customHeight="false" outlineLevel="0" collapsed="false">
      <c r="A554" s="21" t="n">
        <v>92873</v>
      </c>
      <c r="B554" s="21" t="s">
        <v>769</v>
      </c>
      <c r="C554" s="45" t="s">
        <v>770</v>
      </c>
      <c r="D554" s="14" t="s">
        <v>41</v>
      </c>
      <c r="E554" s="15" t="n">
        <f aca="false">E553</f>
        <v>0.17</v>
      </c>
      <c r="F554" s="16" t="n">
        <v>172.43</v>
      </c>
      <c r="G554" s="16" t="n">
        <f aca="false">F554*1.25</f>
        <v>215.5375</v>
      </c>
      <c r="H554" s="14" t="n">
        <f aca="false">J554*0.6</f>
        <v>21.984825</v>
      </c>
      <c r="I554" s="14" t="n">
        <f aca="false">J554*0.4</f>
        <v>14.65655</v>
      </c>
      <c r="J554" s="16" t="n">
        <f aca="false">G554*E554</f>
        <v>36.641375</v>
      </c>
    </row>
    <row r="555" customFormat="false" ht="43.25" hidden="false" customHeight="false" outlineLevel="0" collapsed="false">
      <c r="A555" s="13" t="n">
        <v>87879</v>
      </c>
      <c r="B555" s="21" t="s">
        <v>771</v>
      </c>
      <c r="C555" s="13" t="s">
        <v>772</v>
      </c>
      <c r="D555" s="14" t="s">
        <v>23</v>
      </c>
      <c r="E555" s="15" t="n">
        <f aca="false">E550</f>
        <v>0.8</v>
      </c>
      <c r="F555" s="16" t="n">
        <v>3.45</v>
      </c>
      <c r="G555" s="26" t="n">
        <f aca="false">F555*1.25</f>
        <v>4.3125</v>
      </c>
      <c r="H555" s="16" t="n">
        <f aca="false">J555*0.6</f>
        <v>2.0688</v>
      </c>
      <c r="I555" s="16" t="n">
        <f aca="false">J555*0.4</f>
        <v>1.3792</v>
      </c>
      <c r="J555" s="16" t="n">
        <f aca="false">ROUND(E555,2)*(ROUND(G555,2))</f>
        <v>3.448</v>
      </c>
    </row>
    <row r="556" customFormat="false" ht="53.7" hidden="false" customHeight="false" outlineLevel="0" collapsed="false">
      <c r="A556" s="13" t="n">
        <v>87529</v>
      </c>
      <c r="B556" s="21" t="s">
        <v>773</v>
      </c>
      <c r="C556" s="13" t="s">
        <v>774</v>
      </c>
      <c r="D556" s="14" t="s">
        <v>23</v>
      </c>
      <c r="E556" s="15" t="n">
        <f aca="false">E555</f>
        <v>0.8</v>
      </c>
      <c r="F556" s="16" t="n">
        <v>29.01</v>
      </c>
      <c r="G556" s="26" t="n">
        <f aca="false">F556*1.25</f>
        <v>36.2625</v>
      </c>
      <c r="H556" s="16" t="n">
        <f aca="false">J556*0.6</f>
        <v>17.4048</v>
      </c>
      <c r="I556" s="16" t="n">
        <f aca="false">J556*0.4</f>
        <v>11.6032</v>
      </c>
      <c r="J556" s="16" t="n">
        <f aca="false">ROUND(E556,2)*(ROUND(G556,2))</f>
        <v>29.008</v>
      </c>
    </row>
    <row r="557" customFormat="false" ht="32.8" hidden="false" customHeight="false" outlineLevel="0" collapsed="false">
      <c r="A557" s="13" t="s">
        <v>159</v>
      </c>
      <c r="B557" s="21" t="s">
        <v>775</v>
      </c>
      <c r="C557" s="13" t="s">
        <v>776</v>
      </c>
      <c r="D557" s="14" t="s">
        <v>23</v>
      </c>
      <c r="E557" s="15" t="n">
        <f aca="false">E556</f>
        <v>0.8</v>
      </c>
      <c r="F557" s="16" t="n">
        <v>4.48</v>
      </c>
      <c r="G557" s="26" t="n">
        <f aca="false">F557*1.25</f>
        <v>5.6</v>
      </c>
      <c r="H557" s="16" t="n">
        <f aca="false">J557*0.6</f>
        <v>2.688</v>
      </c>
      <c r="I557" s="16" t="n">
        <f aca="false">J557*0.4</f>
        <v>1.792</v>
      </c>
      <c r="J557" s="16" t="n">
        <f aca="false">ROUND(E557,2)*(ROUND(G557,2))</f>
        <v>4.48</v>
      </c>
    </row>
    <row r="558" customFormat="false" ht="22.35" hidden="false" customHeight="false" outlineLevel="0" collapsed="false">
      <c r="A558" s="13" t="n">
        <v>102193</v>
      </c>
      <c r="B558" s="21" t="s">
        <v>777</v>
      </c>
      <c r="C558" s="9" t="s">
        <v>778</v>
      </c>
      <c r="D558" s="21" t="s">
        <v>23</v>
      </c>
      <c r="E558" s="29" t="n">
        <f aca="false">E555</f>
        <v>0.8</v>
      </c>
      <c r="F558" s="16" t="n">
        <v>1.52</v>
      </c>
      <c r="G558" s="26" t="n">
        <f aca="false">F558*1.25</f>
        <v>1.9</v>
      </c>
      <c r="H558" s="16" t="n">
        <f aca="false">J558*0.6</f>
        <v>0.912</v>
      </c>
      <c r="I558" s="16" t="n">
        <f aca="false">J558*0.4</f>
        <v>0.608</v>
      </c>
      <c r="J558" s="16" t="n">
        <f aca="false">ROUND(E558,2)*(ROUND(G558,2))</f>
        <v>1.52</v>
      </c>
    </row>
    <row r="559" customFormat="false" ht="22.35" hidden="false" customHeight="false" outlineLevel="0" collapsed="false">
      <c r="A559" s="12" t="n">
        <v>88485</v>
      </c>
      <c r="B559" s="21" t="s">
        <v>779</v>
      </c>
      <c r="C559" s="13" t="s">
        <v>780</v>
      </c>
      <c r="D559" s="15" t="s">
        <v>23</v>
      </c>
      <c r="E559" s="15" t="n">
        <f aca="false">E555</f>
        <v>0.8</v>
      </c>
      <c r="F559" s="16" t="n">
        <v>2.08</v>
      </c>
      <c r="G559" s="26" t="n">
        <f aca="false">F559*1.25</f>
        <v>2.6</v>
      </c>
      <c r="H559" s="16" t="n">
        <f aca="false">J559*0.6</f>
        <v>1.248</v>
      </c>
      <c r="I559" s="16" t="n">
        <f aca="false">J559*0.4</f>
        <v>0.832</v>
      </c>
      <c r="J559" s="16" t="n">
        <f aca="false">ROUND(E559,2)*(ROUND(G559,2))</f>
        <v>2.08</v>
      </c>
    </row>
    <row r="560" customFormat="false" ht="32.8" hidden="false" customHeight="false" outlineLevel="0" collapsed="false">
      <c r="A560" s="12" t="n">
        <v>88489</v>
      </c>
      <c r="B560" s="21" t="s">
        <v>781</v>
      </c>
      <c r="C560" s="13" t="s">
        <v>782</v>
      </c>
      <c r="D560" s="15" t="s">
        <v>23</v>
      </c>
      <c r="E560" s="15" t="n">
        <f aca="false">E559</f>
        <v>0.8</v>
      </c>
      <c r="F560" s="16" t="n">
        <v>13.85</v>
      </c>
      <c r="G560" s="26" t="n">
        <f aca="false">F560*1.25</f>
        <v>17.3125</v>
      </c>
      <c r="H560" s="16" t="n">
        <f aca="false">J560*0.6</f>
        <v>8.3088</v>
      </c>
      <c r="I560" s="16" t="n">
        <f aca="false">J560*0.4</f>
        <v>5.5392</v>
      </c>
      <c r="J560" s="16" t="n">
        <f aca="false">ROUND(E560,2)*(ROUND(G560,2))</f>
        <v>13.848</v>
      </c>
    </row>
    <row r="561" customFormat="false" ht="13.8" hidden="false" customHeight="false" outlineLevel="0" collapsed="false">
      <c r="A561" s="18"/>
      <c r="B561" s="18"/>
      <c r="C561" s="18"/>
      <c r="D561" s="18"/>
      <c r="E561" s="18"/>
      <c r="F561" s="18"/>
      <c r="G561" s="18"/>
      <c r="H561" s="18"/>
      <c r="I561" s="19" t="s">
        <v>32</v>
      </c>
      <c r="J561" s="20" t="n">
        <f aca="false">SUM(J544:J560)</f>
        <v>16229.187825</v>
      </c>
    </row>
    <row r="562" customFormat="false" ht="13.8" hidden="false" customHeight="false" outlineLevel="0" collapsed="false">
      <c r="A562" s="11" t="s">
        <v>783</v>
      </c>
      <c r="B562" s="11"/>
      <c r="C562" s="11"/>
      <c r="D562" s="11"/>
      <c r="E562" s="11"/>
      <c r="F562" s="11"/>
      <c r="G562" s="11"/>
      <c r="H562" s="11"/>
      <c r="I562" s="11"/>
      <c r="J562" s="11"/>
    </row>
    <row r="563" customFormat="false" ht="32.8" hidden="false" customHeight="false" outlineLevel="0" collapsed="false">
      <c r="A563" s="13" t="n">
        <v>97626</v>
      </c>
      <c r="B563" s="21" t="s">
        <v>784</v>
      </c>
      <c r="C563" s="13" t="s">
        <v>785</v>
      </c>
      <c r="D563" s="15" t="s">
        <v>41</v>
      </c>
      <c r="E563" s="15" t="n">
        <f aca="false">0.15*0.15*3*25</f>
        <v>1.6875</v>
      </c>
      <c r="F563" s="16" t="n">
        <v>498.79</v>
      </c>
      <c r="G563" s="26" t="n">
        <f aca="false">F563*1.25</f>
        <v>623.4875</v>
      </c>
      <c r="H563" s="15" t="n">
        <f aca="false">J563*0.6</f>
        <v>632.21886</v>
      </c>
      <c r="I563" s="15" t="n">
        <f aca="false">J563*0.4</f>
        <v>421.47924</v>
      </c>
      <c r="J563" s="16" t="n">
        <f aca="false">ROUND(E563,2)*(ROUND(G563,2))</f>
        <v>1053.6981</v>
      </c>
    </row>
    <row r="564" customFormat="false" ht="22.35" hidden="false" customHeight="false" outlineLevel="0" collapsed="false">
      <c r="A564" s="12" t="n">
        <v>97637</v>
      </c>
      <c r="B564" s="21" t="s">
        <v>786</v>
      </c>
      <c r="C564" s="13" t="s">
        <v>460</v>
      </c>
      <c r="D564" s="14" t="s">
        <v>23</v>
      </c>
      <c r="E564" s="15" t="n">
        <f aca="false">74.05*3</f>
        <v>222.15</v>
      </c>
      <c r="F564" s="16" t="n">
        <v>2.25</v>
      </c>
      <c r="G564" s="26" t="n">
        <f aca="false">F564*1.25</f>
        <v>2.8125</v>
      </c>
      <c r="H564" s="16" t="n">
        <f aca="false">J564*0.6</f>
        <v>374.5449</v>
      </c>
      <c r="I564" s="16" t="n">
        <f aca="false">J564*0.4</f>
        <v>249.6966</v>
      </c>
      <c r="J564" s="16" t="n">
        <f aca="false">ROUND(E564,2)*(ROUND(G564,2))</f>
        <v>624.2415</v>
      </c>
    </row>
    <row r="565" customFormat="false" ht="43.25" hidden="false" customHeight="false" outlineLevel="0" collapsed="false">
      <c r="A565" s="13" t="n">
        <v>101159</v>
      </c>
      <c r="B565" s="21" t="s">
        <v>787</v>
      </c>
      <c r="C565" s="13" t="s">
        <v>670</v>
      </c>
      <c r="D565" s="14" t="s">
        <v>23</v>
      </c>
      <c r="E565" s="15" t="n">
        <f aca="false">((2.6+54.3)*0.7)+(50*0.7)</f>
        <v>74.83</v>
      </c>
      <c r="F565" s="16" t="n">
        <v>117.07</v>
      </c>
      <c r="G565" s="26" t="n">
        <f aca="false">F565*1.25</f>
        <v>146.3375</v>
      </c>
      <c r="H565" s="16" t="n">
        <f aca="false">J565*0.6</f>
        <v>6570.37332</v>
      </c>
      <c r="I565" s="16" t="n">
        <f aca="false">J565*0.4</f>
        <v>4380.24888</v>
      </c>
      <c r="J565" s="16" t="n">
        <f aca="false">ROUND(E565,2)*(ROUND(G565,2))</f>
        <v>10950.6222</v>
      </c>
    </row>
    <row r="566" customFormat="false" ht="22.35" hidden="false" customHeight="false" outlineLevel="0" collapsed="false">
      <c r="A566" s="13" t="n">
        <v>93204</v>
      </c>
      <c r="B566" s="21" t="s">
        <v>788</v>
      </c>
      <c r="C566" s="13" t="s">
        <v>789</v>
      </c>
      <c r="D566" s="14" t="s">
        <v>38</v>
      </c>
      <c r="E566" s="15" t="n">
        <f aca="false">2.6+54.3+50</f>
        <v>106.9</v>
      </c>
      <c r="F566" s="16" t="n">
        <v>50.99</v>
      </c>
      <c r="G566" s="26" t="n">
        <f aca="false">F566*1.25</f>
        <v>63.7375</v>
      </c>
      <c r="H566" s="16" t="n">
        <f aca="false">J566*0.6</f>
        <v>4088.2836</v>
      </c>
      <c r="I566" s="16" t="n">
        <f aca="false">J566*0.4</f>
        <v>2725.5224</v>
      </c>
      <c r="J566" s="16" t="n">
        <f aca="false">ROUND(E566,2)*(ROUND(G566,2))</f>
        <v>6813.806</v>
      </c>
    </row>
    <row r="567" customFormat="false" ht="43.25" hidden="false" customHeight="false" outlineLevel="0" collapsed="false">
      <c r="A567" s="13" t="n">
        <v>92775</v>
      </c>
      <c r="B567" s="21" t="s">
        <v>790</v>
      </c>
      <c r="C567" s="13" t="s">
        <v>81</v>
      </c>
      <c r="D567" s="13" t="s">
        <v>53</v>
      </c>
      <c r="E567" s="15" t="n">
        <f aca="false">(106.9/0.15)*0.53*0.16</f>
        <v>60.4341333333333</v>
      </c>
      <c r="F567" s="16" t="n">
        <v>20.25</v>
      </c>
      <c r="G567" s="26" t="n">
        <f aca="false">F567*1.25</f>
        <v>25.3125</v>
      </c>
      <c r="H567" s="16" t="n">
        <f aca="false">J567*0.6</f>
        <v>917.68998</v>
      </c>
      <c r="I567" s="16" t="n">
        <f aca="false">J567*0.4</f>
        <v>611.79332</v>
      </c>
      <c r="J567" s="16" t="n">
        <f aca="false">ROUND(E567,2)*(ROUND(G567,2))</f>
        <v>1529.4833</v>
      </c>
    </row>
    <row r="568" customFormat="false" ht="43.25" hidden="false" customHeight="false" outlineLevel="0" collapsed="false">
      <c r="A568" s="13" t="n">
        <v>87879</v>
      </c>
      <c r="B568" s="21" t="s">
        <v>791</v>
      </c>
      <c r="C568" s="13" t="s">
        <v>156</v>
      </c>
      <c r="D568" s="14" t="s">
        <v>23</v>
      </c>
      <c r="E568" s="15" t="n">
        <f aca="false">(E565+(56.9*0.2))*2</f>
        <v>172.42</v>
      </c>
      <c r="F568" s="16" t="n">
        <v>3.45</v>
      </c>
      <c r="G568" s="26" t="n">
        <f aca="false">F568*1.25</f>
        <v>4.3125</v>
      </c>
      <c r="H568" s="16" t="n">
        <f aca="false">J568*0.6</f>
        <v>445.87812</v>
      </c>
      <c r="I568" s="16" t="n">
        <f aca="false">J568*0.4</f>
        <v>297.25208</v>
      </c>
      <c r="J568" s="16" t="n">
        <f aca="false">ROUND(E568,2)*(ROUND(G568,2))</f>
        <v>743.1302</v>
      </c>
    </row>
    <row r="569" customFormat="false" ht="53.7" hidden="false" customHeight="false" outlineLevel="0" collapsed="false">
      <c r="A569" s="13" t="n">
        <v>87529</v>
      </c>
      <c r="B569" s="21" t="s">
        <v>792</v>
      </c>
      <c r="C569" s="13" t="s">
        <v>158</v>
      </c>
      <c r="D569" s="14" t="s">
        <v>23</v>
      </c>
      <c r="E569" s="15" t="n">
        <f aca="false">E568</f>
        <v>172.42</v>
      </c>
      <c r="F569" s="16" t="n">
        <v>29.01</v>
      </c>
      <c r="G569" s="26" t="n">
        <f aca="false">F569*1.25</f>
        <v>36.2625</v>
      </c>
      <c r="H569" s="16" t="n">
        <f aca="false">J569*0.6</f>
        <v>3751.16952</v>
      </c>
      <c r="I569" s="16" t="n">
        <f aca="false">J569*0.4</f>
        <v>2500.77968</v>
      </c>
      <c r="J569" s="16" t="n">
        <f aca="false">ROUND(E569,2)*(ROUND(G569,2))</f>
        <v>6251.9492</v>
      </c>
    </row>
    <row r="570" customFormat="false" ht="22.35" hidden="false" customHeight="false" outlineLevel="0" collapsed="false">
      <c r="A570" s="13" t="s">
        <v>159</v>
      </c>
      <c r="B570" s="21" t="s">
        <v>793</v>
      </c>
      <c r="C570" s="13" t="s">
        <v>161</v>
      </c>
      <c r="D570" s="14" t="s">
        <v>23</v>
      </c>
      <c r="E570" s="15" t="n">
        <f aca="false">E569</f>
        <v>172.42</v>
      </c>
      <c r="F570" s="16" t="n">
        <v>4.48</v>
      </c>
      <c r="G570" s="26" t="n">
        <f aca="false">F570*1.25</f>
        <v>5.6</v>
      </c>
      <c r="H570" s="16" t="n">
        <f aca="false">J570*0.6</f>
        <v>579.3312</v>
      </c>
      <c r="I570" s="16" t="n">
        <f aca="false">J570*0.4</f>
        <v>386.2208</v>
      </c>
      <c r="J570" s="16" t="n">
        <f aca="false">ROUND(E570,2)*(ROUND(G570,2))</f>
        <v>965.552</v>
      </c>
    </row>
    <row r="571" customFormat="false" ht="22.35" hidden="false" customHeight="false" outlineLevel="0" collapsed="false">
      <c r="A571" s="13" t="n">
        <v>102193</v>
      </c>
      <c r="B571" s="21" t="s">
        <v>794</v>
      </c>
      <c r="C571" s="9" t="s">
        <v>213</v>
      </c>
      <c r="D571" s="21" t="s">
        <v>23</v>
      </c>
      <c r="E571" s="29" t="n">
        <f aca="false">E568</f>
        <v>172.42</v>
      </c>
      <c r="F571" s="16" t="n">
        <v>1.52</v>
      </c>
      <c r="G571" s="26" t="n">
        <f aca="false">F571*1.25</f>
        <v>1.9</v>
      </c>
      <c r="H571" s="16" t="n">
        <f aca="false">J571*0.6</f>
        <v>196.5588</v>
      </c>
      <c r="I571" s="16" t="n">
        <f aca="false">J571*0.4</f>
        <v>131.0392</v>
      </c>
      <c r="J571" s="16" t="n">
        <f aca="false">ROUND(E571,2)*(ROUND(G571,2))</f>
        <v>327.598</v>
      </c>
    </row>
    <row r="572" customFormat="false" ht="22.35" hidden="false" customHeight="false" outlineLevel="0" collapsed="false">
      <c r="A572" s="12" t="n">
        <v>88485</v>
      </c>
      <c r="B572" s="21" t="s">
        <v>795</v>
      </c>
      <c r="C572" s="13" t="s">
        <v>217</v>
      </c>
      <c r="D572" s="15" t="s">
        <v>23</v>
      </c>
      <c r="E572" s="15" t="n">
        <f aca="false">E568</f>
        <v>172.42</v>
      </c>
      <c r="F572" s="16" t="n">
        <v>2.08</v>
      </c>
      <c r="G572" s="26" t="n">
        <f aca="false">F572*1.25</f>
        <v>2.6</v>
      </c>
      <c r="H572" s="16" t="n">
        <f aca="false">J572*0.6</f>
        <v>268.9752</v>
      </c>
      <c r="I572" s="16" t="n">
        <f aca="false">J572*0.4</f>
        <v>179.3168</v>
      </c>
      <c r="J572" s="16" t="n">
        <f aca="false">ROUND(E572,2)*(ROUND(G572,2))</f>
        <v>448.292</v>
      </c>
    </row>
    <row r="573" customFormat="false" ht="22.35" hidden="false" customHeight="false" outlineLevel="0" collapsed="false">
      <c r="A573" s="12" t="n">
        <v>88489</v>
      </c>
      <c r="B573" s="21" t="s">
        <v>796</v>
      </c>
      <c r="C573" s="13" t="s">
        <v>219</v>
      </c>
      <c r="D573" s="15" t="s">
        <v>23</v>
      </c>
      <c r="E573" s="15" t="n">
        <f aca="false">E572</f>
        <v>172.42</v>
      </c>
      <c r="F573" s="16" t="n">
        <v>13.85</v>
      </c>
      <c r="G573" s="26" t="n">
        <f aca="false">F573*1.25</f>
        <v>17.3125</v>
      </c>
      <c r="H573" s="16" t="n">
        <f aca="false">J573*0.6</f>
        <v>1790.75412</v>
      </c>
      <c r="I573" s="16" t="n">
        <f aca="false">J573*0.4</f>
        <v>1193.83608</v>
      </c>
      <c r="J573" s="16" t="n">
        <f aca="false">ROUND(E573,2)*(ROUND(G573,2))</f>
        <v>2984.5902</v>
      </c>
    </row>
    <row r="574" customFormat="false" ht="43.25" hidden="false" customHeight="false" outlineLevel="0" collapsed="false">
      <c r="A574" s="13" t="n">
        <v>98525</v>
      </c>
      <c r="B574" s="21" t="s">
        <v>797</v>
      </c>
      <c r="C574" s="13" t="s">
        <v>798</v>
      </c>
      <c r="D574" s="15" t="s">
        <v>23</v>
      </c>
      <c r="E574" s="15" t="n">
        <f aca="false">2.6*182.95</f>
        <v>475.67</v>
      </c>
      <c r="F574" s="16" t="n">
        <v>0.34</v>
      </c>
      <c r="G574" s="26" t="n">
        <f aca="false">F574*1.25</f>
        <v>0.425</v>
      </c>
      <c r="H574" s="15" t="n">
        <f aca="false">J574*0.6</f>
        <v>122.72286</v>
      </c>
      <c r="I574" s="15" t="n">
        <f aca="false">J574*0.4</f>
        <v>81.81524</v>
      </c>
      <c r="J574" s="16" t="n">
        <f aca="false">ROUND(E574,2)*(ROUND(G574,2))</f>
        <v>204.5381</v>
      </c>
    </row>
    <row r="575" customFormat="false" ht="22.35" hidden="false" customHeight="false" outlineLevel="0" collapsed="false">
      <c r="A575" s="13" t="n">
        <v>96622</v>
      </c>
      <c r="B575" s="21" t="s">
        <v>799</v>
      </c>
      <c r="C575" s="13" t="s">
        <v>750</v>
      </c>
      <c r="D575" s="15" t="s">
        <v>41</v>
      </c>
      <c r="E575" s="15" t="n">
        <f aca="false">E574*0.05</f>
        <v>23.7835</v>
      </c>
      <c r="F575" s="16" t="n">
        <v>96.33</v>
      </c>
      <c r="G575" s="26" t="n">
        <f aca="false">F575*1.25</f>
        <v>120.4125</v>
      </c>
      <c r="H575" s="15" t="n">
        <f aca="false">J575*0.6</f>
        <v>1718.00988</v>
      </c>
      <c r="I575" s="15" t="n">
        <f aca="false">J575*0.4</f>
        <v>1145.33992</v>
      </c>
      <c r="J575" s="16" t="n">
        <f aca="false">ROUND(E575,2)*(ROUND(G575,2))</f>
        <v>2863.3498</v>
      </c>
    </row>
    <row r="576" customFormat="false" ht="53.7" hidden="false" customHeight="false" outlineLevel="0" collapsed="false">
      <c r="A576" s="13" t="n">
        <v>94991</v>
      </c>
      <c r="B576" s="21" t="s">
        <v>800</v>
      </c>
      <c r="C576" s="13" t="s">
        <v>752</v>
      </c>
      <c r="D576" s="15" t="s">
        <v>41</v>
      </c>
      <c r="E576" s="15" t="n">
        <f aca="false">E574*0.05</f>
        <v>23.7835</v>
      </c>
      <c r="F576" s="16" t="n">
        <v>553.77</v>
      </c>
      <c r="G576" s="26" t="n">
        <f aca="false">F576*1.25</f>
        <v>692.2125</v>
      </c>
      <c r="H576" s="15" t="n">
        <f aca="false">J576*0.6</f>
        <v>9876.45228</v>
      </c>
      <c r="I576" s="15" t="n">
        <f aca="false">J576*0.4</f>
        <v>6584.30152</v>
      </c>
      <c r="J576" s="16" t="n">
        <f aca="false">ROUND(E576,2)*(ROUND(G576,2))</f>
        <v>16460.7538</v>
      </c>
    </row>
    <row r="577" customFormat="false" ht="13.8" hidden="false" customHeight="false" outlineLevel="0" collapsed="false">
      <c r="A577" s="13" t="s">
        <v>753</v>
      </c>
      <c r="B577" s="21" t="s">
        <v>801</v>
      </c>
      <c r="C577" s="13" t="s">
        <v>755</v>
      </c>
      <c r="D577" s="15" t="s">
        <v>53</v>
      </c>
      <c r="E577" s="15" t="n">
        <f aca="false">(475.67*5)+21.65</f>
        <v>2400</v>
      </c>
      <c r="F577" s="16" t="n">
        <f aca="false">1.56+(1.56*0.4)</f>
        <v>2.184</v>
      </c>
      <c r="G577" s="26" t="n">
        <f aca="false">F577*1.25</f>
        <v>2.73</v>
      </c>
      <c r="H577" s="26" t="n">
        <f aca="false">J577*0.6</f>
        <v>3931.2</v>
      </c>
      <c r="I577" s="26" t="n">
        <f aca="false">J577*0.4</f>
        <v>2620.8</v>
      </c>
      <c r="J577" s="16" t="n">
        <f aca="false">ROUND(E577,2)*(ROUND(G577,2))</f>
        <v>6552</v>
      </c>
    </row>
    <row r="578" customFormat="false" ht="32.8" hidden="false" customHeight="false" outlineLevel="0" collapsed="false">
      <c r="A578" s="13" t="s">
        <v>159</v>
      </c>
      <c r="B578" s="21" t="s">
        <v>802</v>
      </c>
      <c r="C578" s="13" t="s">
        <v>757</v>
      </c>
      <c r="D578" s="15" t="s">
        <v>23</v>
      </c>
      <c r="E578" s="15" t="n">
        <f aca="false">E574</f>
        <v>475.67</v>
      </c>
      <c r="F578" s="16" t="n">
        <f aca="false">32+(32*0.4)</f>
        <v>44.8</v>
      </c>
      <c r="G578" s="26" t="n">
        <f aca="false">F578*1.25</f>
        <v>56</v>
      </c>
      <c r="H578" s="15" t="n">
        <f aca="false">J578*0.6</f>
        <v>15982.512</v>
      </c>
      <c r="I578" s="15" t="n">
        <f aca="false">J578*0.4</f>
        <v>10655.008</v>
      </c>
      <c r="J578" s="16" t="n">
        <f aca="false">ROUND(E578,2)*(ROUND(G578,2))</f>
        <v>26637.52</v>
      </c>
    </row>
    <row r="579" customFormat="false" ht="22.35" hidden="false" customHeight="false" outlineLevel="0" collapsed="false">
      <c r="A579" s="13" t="s">
        <v>411</v>
      </c>
      <c r="B579" s="21" t="s">
        <v>803</v>
      </c>
      <c r="C579" s="13" t="s">
        <v>804</v>
      </c>
      <c r="D579" s="15" t="s">
        <v>27</v>
      </c>
      <c r="E579" s="15" t="n">
        <v>407</v>
      </c>
      <c r="F579" s="16" t="n">
        <f aca="false">9+(9*0.4)</f>
        <v>12.6</v>
      </c>
      <c r="G579" s="26" t="n">
        <f aca="false">F579*1.25</f>
        <v>15.75</v>
      </c>
      <c r="H579" s="15" t="n">
        <f aca="false">J579*0.6</f>
        <v>3846.15</v>
      </c>
      <c r="I579" s="15" t="n">
        <f aca="false">J579*0.4</f>
        <v>2564.1</v>
      </c>
      <c r="J579" s="16" t="n">
        <f aca="false">ROUND(E579,2)*(ROUND(G579,2))</f>
        <v>6410.25</v>
      </c>
    </row>
    <row r="580" customFormat="false" ht="13.8" hidden="false" customHeight="false" outlineLevel="0" collapsed="false">
      <c r="A580" s="13" t="n">
        <v>34357</v>
      </c>
      <c r="B580" s="21" t="s">
        <v>805</v>
      </c>
      <c r="C580" s="13" t="s">
        <v>760</v>
      </c>
      <c r="D580" s="15" t="s">
        <v>53</v>
      </c>
      <c r="E580" s="15" t="n">
        <f aca="false">(E574/3)+1.44</f>
        <v>159.996666666667</v>
      </c>
      <c r="F580" s="16" t="n">
        <f aca="false">2.99+(2.99*0.4)</f>
        <v>4.186</v>
      </c>
      <c r="G580" s="26" t="n">
        <f aca="false">F580*1.25</f>
        <v>5.2325</v>
      </c>
      <c r="H580" s="26" t="n">
        <f aca="false">J580*0.6</f>
        <v>502.08</v>
      </c>
      <c r="I580" s="26" t="n">
        <f aca="false">J580*0.4</f>
        <v>334.72</v>
      </c>
      <c r="J580" s="16" t="n">
        <f aca="false">ROUND(E580,2)*(ROUND(G580,2))</f>
        <v>836.8</v>
      </c>
    </row>
    <row r="581" customFormat="false" ht="13.8" hidden="false" customHeight="false" outlineLevel="0" collapsed="false">
      <c r="A581" s="18"/>
      <c r="B581" s="18"/>
      <c r="C581" s="18"/>
      <c r="D581" s="18"/>
      <c r="E581" s="18"/>
      <c r="F581" s="18"/>
      <c r="G581" s="18"/>
      <c r="H581" s="18"/>
      <c r="I581" s="19" t="s">
        <v>32</v>
      </c>
      <c r="J581" s="20" t="n">
        <f aca="false">SUM(J563:J580)</f>
        <v>92658.1744</v>
      </c>
    </row>
    <row r="582" customFormat="false" ht="13.8" hidden="false" customHeight="false" outlineLevel="0" collapsed="false">
      <c r="A582" s="11" t="s">
        <v>806</v>
      </c>
      <c r="B582" s="11"/>
      <c r="C582" s="11"/>
      <c r="D582" s="11"/>
      <c r="E582" s="11"/>
      <c r="F582" s="11"/>
      <c r="G582" s="11"/>
      <c r="H582" s="11"/>
      <c r="I582" s="11"/>
      <c r="J582" s="11"/>
    </row>
    <row r="583" customFormat="false" ht="22.35" hidden="false" customHeight="false" outlineLevel="0" collapsed="false">
      <c r="A583" s="9" t="s">
        <v>159</v>
      </c>
      <c r="B583" s="21" t="s">
        <v>210</v>
      </c>
      <c r="C583" s="9" t="s">
        <v>807</v>
      </c>
      <c r="D583" s="21" t="s">
        <v>27</v>
      </c>
      <c r="E583" s="29" t="n">
        <v>15</v>
      </c>
      <c r="F583" s="16" t="n">
        <f aca="false">150+(150*0.4)</f>
        <v>210</v>
      </c>
      <c r="G583" s="30" t="n">
        <f aca="false">F583*1.25</f>
        <v>262.5</v>
      </c>
      <c r="H583" s="16" t="n">
        <f aca="false">J583*0.6</f>
        <v>2362.5</v>
      </c>
      <c r="I583" s="16" t="n">
        <f aca="false">J583*0.4</f>
        <v>1575</v>
      </c>
      <c r="J583" s="16" t="n">
        <f aca="false">ROUND(E583,2)*(ROUND(G583,2))</f>
        <v>3937.5</v>
      </c>
    </row>
    <row r="584" customFormat="false" ht="22.35" hidden="false" customHeight="false" outlineLevel="0" collapsed="false">
      <c r="A584" s="13" t="n">
        <v>99814</v>
      </c>
      <c r="B584" s="21" t="s">
        <v>212</v>
      </c>
      <c r="C584" s="9" t="s">
        <v>211</v>
      </c>
      <c r="D584" s="21" t="s">
        <v>23</v>
      </c>
      <c r="E584" s="29" t="n">
        <v>515.75</v>
      </c>
      <c r="F584" s="16" t="n">
        <v>1.6</v>
      </c>
      <c r="G584" s="30" t="n">
        <f aca="false">F584*1.25</f>
        <v>2</v>
      </c>
      <c r="H584" s="16" t="n">
        <f aca="false">J584*0.6</f>
        <v>618.9</v>
      </c>
      <c r="I584" s="16" t="n">
        <f aca="false">J584*0.4</f>
        <v>412.6</v>
      </c>
      <c r="J584" s="16" t="n">
        <f aca="false">ROUND(E584,2)*(ROUND(G584,2))</f>
        <v>1031.5</v>
      </c>
    </row>
    <row r="585" customFormat="false" ht="13.8" hidden="false" customHeight="false" outlineLevel="0" collapsed="false">
      <c r="A585" s="13" t="n">
        <v>99811</v>
      </c>
      <c r="B585" s="21" t="s">
        <v>214</v>
      </c>
      <c r="C585" s="9" t="s">
        <v>808</v>
      </c>
      <c r="D585" s="21" t="s">
        <v>23</v>
      </c>
      <c r="E585" s="29" t="n">
        <v>515.75</v>
      </c>
      <c r="F585" s="16" t="n">
        <v>2.93</v>
      </c>
      <c r="G585" s="30" t="n">
        <f aca="false">F585*1.25</f>
        <v>3.6625</v>
      </c>
      <c r="H585" s="16" t="n">
        <f aca="false">J585*0.6</f>
        <v>1132.587</v>
      </c>
      <c r="I585" s="16" t="n">
        <f aca="false">J585*0.4</f>
        <v>755.058</v>
      </c>
      <c r="J585" s="16" t="n">
        <f aca="false">ROUND(E585,2)*(ROUND(G585,2))</f>
        <v>1887.645</v>
      </c>
    </row>
    <row r="586" customFormat="false" ht="13.8" hidden="false" customHeight="false" outlineLevel="0" collapsed="false">
      <c r="A586" s="18"/>
      <c r="B586" s="18"/>
      <c r="C586" s="18"/>
      <c r="D586" s="18"/>
      <c r="E586" s="18"/>
      <c r="F586" s="18"/>
      <c r="G586" s="18"/>
      <c r="H586" s="18"/>
      <c r="I586" s="19" t="s">
        <v>32</v>
      </c>
      <c r="J586" s="20" t="n">
        <f aca="false">SUM(J583:J585)</f>
        <v>6856.645</v>
      </c>
    </row>
    <row r="587" customFormat="false" ht="13.8" hidden="false" customHeight="false" outlineLevel="0" collapsed="false">
      <c r="A587" s="10"/>
      <c r="B587" s="10"/>
      <c r="C587" s="10"/>
      <c r="D587" s="10"/>
      <c r="E587" s="10"/>
      <c r="F587" s="10"/>
      <c r="G587" s="10" t="s">
        <v>809</v>
      </c>
      <c r="H587" s="10"/>
      <c r="I587" s="10"/>
      <c r="J587" s="48" t="n">
        <f aca="false">J586+J581+J561+J542+J535+J505+J492+J480+J447+J422+J376+J326+J304</f>
        <v>424619.801025</v>
      </c>
    </row>
    <row r="588" customFormat="false" ht="13.8" hidden="false" customHeight="false" outlineLevel="0" collapsed="false">
      <c r="A588" s="1"/>
      <c r="B588" s="1"/>
      <c r="C588" s="1"/>
      <c r="D588" s="1"/>
      <c r="E588" s="1"/>
      <c r="F588" s="1"/>
      <c r="G588" s="1"/>
      <c r="H588" s="1"/>
      <c r="I588" s="1"/>
      <c r="J588" s="49"/>
    </row>
    <row r="589" customFormat="false" ht="13.8" hidden="false" customHeight="false" outlineLevel="0" collapsed="false">
      <c r="A589" s="10"/>
      <c r="B589" s="10"/>
      <c r="C589" s="10"/>
      <c r="D589" s="10"/>
      <c r="E589" s="10"/>
      <c r="F589" s="10"/>
      <c r="G589" s="10" t="s">
        <v>810</v>
      </c>
      <c r="H589" s="10"/>
      <c r="I589" s="10"/>
      <c r="J589" s="48" t="n">
        <f aca="false">J587+J261</f>
        <v>1062446.120385</v>
      </c>
    </row>
    <row r="590" customFormat="false" ht="13.9" hidden="false" customHeight="true" outlineLevel="0" collapsed="false">
      <c r="A590" s="13"/>
      <c r="B590" s="13"/>
      <c r="C590" s="13"/>
      <c r="D590" s="13"/>
      <c r="E590" s="13"/>
      <c r="F590" s="13"/>
      <c r="G590" s="13"/>
      <c r="H590" s="50" t="s">
        <v>811</v>
      </c>
      <c r="I590" s="50"/>
      <c r="J590" s="51" t="n">
        <f aca="false">J589*0.6</f>
        <v>637467.672231</v>
      </c>
    </row>
    <row r="591" customFormat="false" ht="13.9" hidden="false" customHeight="true" outlineLevel="0" collapsed="false">
      <c r="A591" s="13"/>
      <c r="B591" s="13"/>
      <c r="C591" s="13"/>
      <c r="D591" s="13"/>
      <c r="E591" s="13"/>
      <c r="F591" s="13"/>
      <c r="G591" s="13"/>
      <c r="H591" s="50" t="s">
        <v>812</v>
      </c>
      <c r="I591" s="50"/>
      <c r="J591" s="51" t="n">
        <f aca="false">J589*0.4</f>
        <v>424978.448154</v>
      </c>
    </row>
    <row r="592" customFormat="false" ht="13.8" hidden="false" customHeight="false" outlineLevel="0" collapsed="false">
      <c r="A592" s="52"/>
      <c r="B592" s="52"/>
      <c r="C592" s="52"/>
      <c r="D592" s="52"/>
      <c r="E592" s="52"/>
      <c r="F592" s="52"/>
      <c r="G592" s="52"/>
      <c r="H592" s="52"/>
      <c r="I592" s="52"/>
      <c r="J592" s="52"/>
    </row>
    <row r="593" customFormat="false" ht="13.8" hidden="false" customHeight="false" outlineLevel="0" collapsed="false">
      <c r="A593" s="53" t="s">
        <v>813</v>
      </c>
      <c r="B593" s="53"/>
      <c r="C593" s="53"/>
      <c r="D593" s="53"/>
      <c r="E593" s="53"/>
      <c r="F593" s="53"/>
      <c r="G593" s="53"/>
      <c r="H593" s="53"/>
      <c r="I593" s="53"/>
      <c r="J593" s="53"/>
    </row>
    <row r="594" customFormat="false" ht="13.8" hidden="false" customHeight="false" outlineLevel="0" collapsed="false">
      <c r="A594" s="52"/>
      <c r="B594" s="52"/>
      <c r="C594" s="52"/>
      <c r="D594" s="52"/>
      <c r="E594" s="52"/>
      <c r="F594" s="52"/>
      <c r="G594" s="52"/>
      <c r="H594" s="52"/>
      <c r="I594" s="52"/>
      <c r="J594" s="52"/>
    </row>
    <row r="595" customFormat="false" ht="13.8" hidden="false" customHeight="false" outlineLevel="0" collapsed="false">
      <c r="A595" s="52"/>
      <c r="B595" s="52"/>
      <c r="C595" s="54" t="s">
        <v>814</v>
      </c>
      <c r="D595" s="55"/>
      <c r="E595" s="55"/>
      <c r="F595" s="55"/>
      <c r="G595" s="55" t="s">
        <v>814</v>
      </c>
      <c r="H595" s="55"/>
      <c r="I595" s="55"/>
      <c r="J595" s="52"/>
    </row>
    <row r="596" customFormat="false" ht="13.8" hidden="false" customHeight="false" outlineLevel="0" collapsed="false">
      <c r="A596" s="52"/>
      <c r="B596" s="52"/>
      <c r="C596" s="54" t="s">
        <v>815</v>
      </c>
      <c r="D596" s="55"/>
      <c r="E596" s="55"/>
      <c r="F596" s="55"/>
      <c r="G596" s="55" t="s">
        <v>816</v>
      </c>
      <c r="H596" s="55"/>
      <c r="I596" s="55"/>
      <c r="J596" s="52"/>
    </row>
    <row r="597" customFormat="false" ht="13.8" hidden="false" customHeight="false" outlineLevel="0" collapsed="false">
      <c r="A597" s="52"/>
      <c r="B597" s="52"/>
      <c r="C597" s="54" t="s">
        <v>817</v>
      </c>
      <c r="D597" s="55"/>
      <c r="E597" s="55"/>
      <c r="F597" s="55"/>
      <c r="G597" s="55" t="s">
        <v>818</v>
      </c>
      <c r="H597" s="55"/>
      <c r="I597" s="55"/>
      <c r="J597" s="52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18">
    <mergeCell ref="A1:J4"/>
    <mergeCell ref="A5:J5"/>
    <mergeCell ref="A6:J6"/>
    <mergeCell ref="A7:J7"/>
    <mergeCell ref="A8:J8"/>
    <mergeCell ref="A9:J9"/>
    <mergeCell ref="A10:J10"/>
    <mergeCell ref="A11:J11"/>
    <mergeCell ref="A12:J12"/>
    <mergeCell ref="A13:J13"/>
    <mergeCell ref="A15:J15"/>
    <mergeCell ref="A16:J16"/>
    <mergeCell ref="A22:H22"/>
    <mergeCell ref="A23:J23"/>
    <mergeCell ref="A29:H29"/>
    <mergeCell ref="A30:J30"/>
    <mergeCell ref="A38:H38"/>
    <mergeCell ref="A39:J39"/>
    <mergeCell ref="A42:H42"/>
    <mergeCell ref="A43:J43"/>
    <mergeCell ref="A44:J44"/>
    <mergeCell ref="A49:J49"/>
    <mergeCell ref="A54:J54"/>
    <mergeCell ref="A56:H56"/>
    <mergeCell ref="A57:J57"/>
    <mergeCell ref="A61:H61"/>
    <mergeCell ref="A62:J62"/>
    <mergeCell ref="A63:J63"/>
    <mergeCell ref="A69:J69"/>
    <mergeCell ref="A74:J74"/>
    <mergeCell ref="A79:H79"/>
    <mergeCell ref="A80:J80"/>
    <mergeCell ref="A84:H84"/>
    <mergeCell ref="A85:J85"/>
    <mergeCell ref="A99:H99"/>
    <mergeCell ref="A100:J100"/>
    <mergeCell ref="A106:H106"/>
    <mergeCell ref="A107:J107"/>
    <mergeCell ref="A108:J108"/>
    <mergeCell ref="A113:J113"/>
    <mergeCell ref="A118:J118"/>
    <mergeCell ref="A123:J123"/>
    <mergeCell ref="A127:H127"/>
    <mergeCell ref="A128:J128"/>
    <mergeCell ref="A129:J129"/>
    <mergeCell ref="A137:J137"/>
    <mergeCell ref="A145:H145"/>
    <mergeCell ref="A146:J146"/>
    <mergeCell ref="A154:H154"/>
    <mergeCell ref="A155:J155"/>
    <mergeCell ref="A173:H173"/>
    <mergeCell ref="A174:J174"/>
    <mergeCell ref="A190:H190"/>
    <mergeCell ref="A191:J191"/>
    <mergeCell ref="A223:H223"/>
    <mergeCell ref="A224:J224"/>
    <mergeCell ref="A260:H260"/>
    <mergeCell ref="A261:F261"/>
    <mergeCell ref="G261:I261"/>
    <mergeCell ref="A263:J263"/>
    <mergeCell ref="A264:J264"/>
    <mergeCell ref="A265:J265"/>
    <mergeCell ref="A269:J269"/>
    <mergeCell ref="A283:J283"/>
    <mergeCell ref="A287:J287"/>
    <mergeCell ref="A304:H304"/>
    <mergeCell ref="A305:J305"/>
    <mergeCell ref="A306:J306"/>
    <mergeCell ref="A309:J309"/>
    <mergeCell ref="A326:H326"/>
    <mergeCell ref="A327:J327"/>
    <mergeCell ref="A328:J328"/>
    <mergeCell ref="A334:J334"/>
    <mergeCell ref="A344:J344"/>
    <mergeCell ref="A365:J365"/>
    <mergeCell ref="A366:J366"/>
    <mergeCell ref="A371:J371"/>
    <mergeCell ref="A376:H376"/>
    <mergeCell ref="A377:J377"/>
    <mergeCell ref="A378:J378"/>
    <mergeCell ref="A385:J385"/>
    <mergeCell ref="A387:J387"/>
    <mergeCell ref="A401:J401"/>
    <mergeCell ref="A422:H422"/>
    <mergeCell ref="A423:J423"/>
    <mergeCell ref="A424:J424"/>
    <mergeCell ref="A430:J430"/>
    <mergeCell ref="A432:J432"/>
    <mergeCell ref="A447:H447"/>
    <mergeCell ref="A448:J448"/>
    <mergeCell ref="A449:J449"/>
    <mergeCell ref="A454:J454"/>
    <mergeCell ref="A463:J463"/>
    <mergeCell ref="A469:J469"/>
    <mergeCell ref="A480:H480"/>
    <mergeCell ref="A481:J481"/>
    <mergeCell ref="A492:H492"/>
    <mergeCell ref="A493:J493"/>
    <mergeCell ref="A505:H505"/>
    <mergeCell ref="A506:J506"/>
    <mergeCell ref="A535:H535"/>
    <mergeCell ref="A536:J536"/>
    <mergeCell ref="A542:H542"/>
    <mergeCell ref="A543:J543"/>
    <mergeCell ref="A561:H561"/>
    <mergeCell ref="A562:J562"/>
    <mergeCell ref="A581:H581"/>
    <mergeCell ref="A582:J582"/>
    <mergeCell ref="A586:H586"/>
    <mergeCell ref="A587:F587"/>
    <mergeCell ref="G587:I587"/>
    <mergeCell ref="G589:I589"/>
    <mergeCell ref="H590:I590"/>
    <mergeCell ref="H591:I591"/>
    <mergeCell ref="A593:J593"/>
    <mergeCell ref="G595:I595"/>
    <mergeCell ref="G596:I596"/>
    <mergeCell ref="G597:I597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8" activeCellId="0" sqref="E18"/>
    </sheetView>
  </sheetViews>
  <sheetFormatPr defaultRowHeight="13.8" zeroHeight="false" outlineLevelRow="0" outlineLevelCol="0"/>
  <cols>
    <col collapsed="false" customWidth="true" hidden="false" outlineLevel="0" max="1" min="1" style="0" width="8.71"/>
    <col collapsed="false" customWidth="true" hidden="false" outlineLevel="0" max="2" min="2" style="0" width="27.78"/>
    <col collapsed="false" customWidth="true" hidden="false" outlineLevel="0" max="3" min="3" style="0" width="8.57"/>
    <col collapsed="false" customWidth="true" hidden="false" outlineLevel="0" max="4" min="4" style="0" width="14.15"/>
    <col collapsed="false" customWidth="true" hidden="false" outlineLevel="0" max="5" min="5" style="0" width="10"/>
    <col collapsed="false" customWidth="true" hidden="false" outlineLevel="0" max="6" min="6" style="0" width="11.86"/>
    <col collapsed="false" customWidth="true" hidden="false" outlineLevel="0" max="7" min="7" style="0" width="10.84"/>
    <col collapsed="false" customWidth="true" hidden="false" outlineLevel="0" max="8" min="8" style="0" width="12.14"/>
    <col collapsed="false" customWidth="true" hidden="false" outlineLevel="0" max="9" min="9" style="0" width="8.71"/>
    <col collapsed="false" customWidth="true" hidden="false" outlineLevel="0" max="10" min="10" style="0" width="11.86"/>
    <col collapsed="false" customWidth="true" hidden="false" outlineLevel="0" max="11" min="11" style="0" width="8.19"/>
    <col collapsed="false" customWidth="true" hidden="false" outlineLevel="0" max="12" min="12" style="0" width="12.86"/>
    <col collapsed="false" customWidth="true" hidden="false" outlineLevel="0" max="13" min="13" style="0" width="8.75"/>
    <col collapsed="false" customWidth="true" hidden="false" outlineLevel="0" max="14" min="14" style="0" width="13.75"/>
    <col collapsed="false" customWidth="true" hidden="false" outlineLevel="0" max="1014" min="15" style="0" width="8.71"/>
    <col collapsed="false" customWidth="true" hidden="false" outlineLevel="0" max="1025" min="1015" style="0" width="11.57"/>
  </cols>
  <sheetData>
    <row r="1" customFormat="false" ht="13.8" hidden="false" customHeight="false" outlineLevel="0" collapsed="false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customFormat="false" ht="13.8" hidden="false" customHeight="false" outlineLevel="0" collapsed="false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customFormat="false" ht="13.8" hidden="false" customHeight="false" outlineLevel="0" collapsed="false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customFormat="false" ht="13.8" hidden="false" customHeight="false" outlineLevel="0" collapsed="false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customFormat="false" ht="13.8" hidden="false" customHeight="false" outlineLevel="0" collapsed="false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customFormat="false" ht="13.8" hidden="false" customHeight="false" outlineLevel="0" collapsed="false">
      <c r="A6" s="1" t="s">
        <v>819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customFormat="false" ht="13.8" hidden="false" customHeight="false" outlineLevel="0" collapsed="false">
      <c r="A7" s="57" t="s">
        <v>820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</row>
    <row r="8" customFormat="false" ht="13.8" hidden="false" customHeight="false" outlineLevel="0" collapsed="false">
      <c r="A8" s="58" t="s">
        <v>2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</row>
    <row r="9" customFormat="false" ht="13.8" hidden="false" customHeight="false" outlineLevel="0" collapsed="false">
      <c r="A9" s="58" t="s">
        <v>821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</row>
    <row r="10" customFormat="false" ht="13.8" hidden="false" customHeight="false" outlineLevel="0" collapsed="false">
      <c r="A10" s="59" t="s">
        <v>822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</row>
    <row r="11" customFormat="false" ht="13.8" hidden="false" customHeight="false" outlineLevel="0" collapsed="false">
      <c r="A11" s="60" t="s">
        <v>823</v>
      </c>
      <c r="B11" s="60"/>
      <c r="C11" s="60" t="s">
        <v>824</v>
      </c>
      <c r="D11" s="60" t="s">
        <v>825</v>
      </c>
      <c r="E11" s="60" t="s">
        <v>824</v>
      </c>
      <c r="F11" s="60" t="s">
        <v>826</v>
      </c>
      <c r="G11" s="60" t="s">
        <v>824</v>
      </c>
      <c r="H11" s="60" t="s">
        <v>827</v>
      </c>
      <c r="I11" s="60" t="s">
        <v>824</v>
      </c>
      <c r="J11" s="60" t="s">
        <v>828</v>
      </c>
      <c r="K11" s="60" t="s">
        <v>824</v>
      </c>
      <c r="L11" s="60" t="s">
        <v>829</v>
      </c>
      <c r="M11" s="60" t="s">
        <v>824</v>
      </c>
      <c r="N11" s="60" t="s">
        <v>830</v>
      </c>
    </row>
    <row r="12" customFormat="false" ht="13.8" hidden="false" customHeight="false" outlineLevel="0" collapsed="false">
      <c r="A12" s="61" t="s">
        <v>18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</row>
    <row r="13" customFormat="false" ht="13.8" hidden="false" customHeight="false" outlineLevel="0" collapsed="false">
      <c r="A13" s="62" t="str">
        <f aca="false">Orçamento!A16</f>
        <v>1.0 SERVIÇOS INICIAIS</v>
      </c>
      <c r="B13" s="62"/>
      <c r="C13" s="63" t="n">
        <f aca="false">(D13/D46)*100</f>
        <v>4.26840845769529</v>
      </c>
      <c r="D13" s="64" t="n">
        <f aca="false">Orçamento!J22</f>
        <v>18124.5075</v>
      </c>
      <c r="E13" s="65" t="n">
        <v>1</v>
      </c>
      <c r="F13" s="64" t="n">
        <f aca="false">D13*E13</f>
        <v>18124.5075</v>
      </c>
      <c r="G13" s="65"/>
      <c r="H13" s="64"/>
      <c r="I13" s="66"/>
      <c r="J13" s="67"/>
      <c r="K13" s="66"/>
      <c r="L13" s="64"/>
      <c r="M13" s="66"/>
      <c r="N13" s="64"/>
    </row>
    <row r="14" customFormat="false" ht="13.8" hidden="false" customHeight="false" outlineLevel="0" collapsed="false">
      <c r="A14" s="62" t="str">
        <f aca="false">Orçamento!A23</f>
        <v>2.0 TRABALHOS EM TERRA</v>
      </c>
      <c r="B14" s="62"/>
      <c r="C14" s="63" t="n">
        <f aca="false">(D14/D46)*100</f>
        <v>3.99416041340038</v>
      </c>
      <c r="D14" s="64" t="n">
        <f aca="false">Orçamento!J29</f>
        <v>16959.996</v>
      </c>
      <c r="E14" s="65" t="n">
        <v>1</v>
      </c>
      <c r="F14" s="64" t="n">
        <f aca="false">D14*E14</f>
        <v>16959.996</v>
      </c>
      <c r="G14" s="65"/>
      <c r="H14" s="64"/>
      <c r="I14" s="68"/>
      <c r="J14" s="69"/>
      <c r="K14" s="68"/>
      <c r="L14" s="64"/>
      <c r="M14" s="68"/>
      <c r="N14" s="64"/>
    </row>
    <row r="15" customFormat="false" ht="13.8" hidden="false" customHeight="false" outlineLevel="0" collapsed="false">
      <c r="A15" s="70" t="str">
        <f aca="false">Orçamento!A30</f>
        <v>3.0 INFRAESTRUTURA</v>
      </c>
      <c r="B15" s="70"/>
      <c r="C15" s="63" t="n">
        <f aca="false">(D15/D46)*100</f>
        <v>10.5057565597073</v>
      </c>
      <c r="D15" s="64" t="n">
        <f aca="false">Orçamento!J38</f>
        <v>44609.5226</v>
      </c>
      <c r="E15" s="65" t="n">
        <v>1</v>
      </c>
      <c r="F15" s="64" t="n">
        <f aca="false">D15*E15</f>
        <v>44609.5226</v>
      </c>
      <c r="G15" s="65"/>
      <c r="H15" s="64"/>
      <c r="I15" s="68"/>
      <c r="J15" s="69"/>
      <c r="K15" s="68"/>
      <c r="L15" s="64"/>
      <c r="M15" s="68"/>
      <c r="N15" s="64"/>
    </row>
    <row r="16" customFormat="false" ht="13.8" hidden="false" customHeight="false" outlineLevel="0" collapsed="false">
      <c r="A16" s="70" t="str">
        <f aca="false">Orçamento!A39</f>
        <v>4.0 PAREDES</v>
      </c>
      <c r="B16" s="70"/>
      <c r="C16" s="63" t="n">
        <f aca="false">(D16/D46)*100</f>
        <v>12.5872386005035</v>
      </c>
      <c r="D16" s="64" t="n">
        <f aca="false">Orçamento!J42</f>
        <v>53447.9075</v>
      </c>
      <c r="E16" s="65" t="n">
        <v>1</v>
      </c>
      <c r="F16" s="64" t="n">
        <f aca="false">D16*E16</f>
        <v>53447.9075</v>
      </c>
      <c r="G16" s="65"/>
      <c r="H16" s="64"/>
      <c r="I16" s="68"/>
      <c r="J16" s="69"/>
      <c r="K16" s="68"/>
      <c r="L16" s="64"/>
      <c r="M16" s="68"/>
      <c r="N16" s="64"/>
    </row>
    <row r="17" customFormat="false" ht="13.8" hidden="false" customHeight="false" outlineLevel="0" collapsed="false">
      <c r="A17" s="70" t="str">
        <f aca="false">Orçamento!A43</f>
        <v>5.0 SUPERESTRUTURA</v>
      </c>
      <c r="B17" s="70"/>
      <c r="C17" s="63" t="n">
        <f aca="false">(D17/D46)*100</f>
        <v>19.2234885191315</v>
      </c>
      <c r="D17" s="64" t="n">
        <f aca="false">Orçamento!J56</f>
        <v>81626.7387</v>
      </c>
      <c r="E17" s="65" t="n">
        <v>0.5</v>
      </c>
      <c r="F17" s="64" t="n">
        <f aca="false">D17*E17</f>
        <v>40813.36935</v>
      </c>
      <c r="G17" s="65" t="n">
        <v>0.5</v>
      </c>
      <c r="H17" s="64" t="n">
        <f aca="false">D17*G17</f>
        <v>40813.36935</v>
      </c>
      <c r="I17" s="68"/>
      <c r="J17" s="69"/>
      <c r="K17" s="68"/>
      <c r="L17" s="64"/>
      <c r="M17" s="68"/>
      <c r="N17" s="64"/>
    </row>
    <row r="18" customFormat="false" ht="13.8" hidden="false" customHeight="false" outlineLevel="0" collapsed="false">
      <c r="A18" s="70" t="str">
        <f aca="false">Orçamento!A57</f>
        <v>6.0 VERGAS E CONTRAVERGAS</v>
      </c>
      <c r="B18" s="70"/>
      <c r="C18" s="63" t="n">
        <f aca="false">(D18/D46)*100</f>
        <v>0.976498220288101</v>
      </c>
      <c r="D18" s="64" t="n">
        <f aca="false">Orçamento!J61</f>
        <v>4146.4048</v>
      </c>
      <c r="E18" s="65" t="n">
        <v>1</v>
      </c>
      <c r="F18" s="64" t="n">
        <f aca="false">D18*E18</f>
        <v>4146.4048</v>
      </c>
      <c r="G18" s="65"/>
      <c r="H18" s="64"/>
      <c r="I18" s="65"/>
      <c r="J18" s="64"/>
      <c r="K18" s="68"/>
      <c r="L18" s="64"/>
      <c r="M18" s="68"/>
      <c r="N18" s="64"/>
    </row>
    <row r="19" customFormat="false" ht="13.8" hidden="false" customHeight="false" outlineLevel="0" collapsed="false">
      <c r="A19" s="62" t="str">
        <f aca="false">Orçamento!A62</f>
        <v>7.0 ESTRUTURAS DECORATIVAS</v>
      </c>
      <c r="B19" s="62"/>
      <c r="C19" s="63" t="n">
        <f aca="false">(D19/D46)*100</f>
        <v>1.51861198757906</v>
      </c>
      <c r="D19" s="64" t="n">
        <f aca="false">Orçamento!J79</f>
        <v>6448.3272</v>
      </c>
      <c r="E19" s="65"/>
      <c r="F19" s="64"/>
      <c r="G19" s="65" t="n">
        <v>1</v>
      </c>
      <c r="H19" s="64" t="n">
        <f aca="false">D19*G19</f>
        <v>6448.3272</v>
      </c>
      <c r="I19" s="65"/>
      <c r="J19" s="64"/>
      <c r="K19" s="65"/>
      <c r="L19" s="64"/>
      <c r="M19" s="65"/>
      <c r="N19" s="64"/>
    </row>
    <row r="20" customFormat="false" ht="13.8" hidden="false" customHeight="false" outlineLevel="0" collapsed="false">
      <c r="A20" s="62" t="str">
        <f aca="false">Orçamento!A80</f>
        <v>8.0 PLATIBANDA</v>
      </c>
      <c r="B20" s="62"/>
      <c r="C20" s="63"/>
      <c r="D20" s="64" t="n">
        <f aca="false">Orçamento!J84</f>
        <v>6943.1645</v>
      </c>
      <c r="E20" s="65"/>
      <c r="F20" s="64"/>
      <c r="G20" s="65" t="n">
        <v>1</v>
      </c>
      <c r="H20" s="64" t="n">
        <f aca="false">D20*G20</f>
        <v>6943.1645</v>
      </c>
      <c r="I20" s="65"/>
      <c r="J20" s="64"/>
      <c r="K20" s="65"/>
      <c r="L20" s="64"/>
      <c r="M20" s="65"/>
      <c r="N20" s="64"/>
    </row>
    <row r="21" customFormat="false" ht="13.8" hidden="false" customHeight="false" outlineLevel="0" collapsed="false">
      <c r="A21" s="62" t="str">
        <f aca="false">Orçamento!A85</f>
        <v>9.0 COBERTURA</v>
      </c>
      <c r="B21" s="62"/>
      <c r="C21" s="63"/>
      <c r="D21" s="64" t="n">
        <f aca="false">Orçamento!J99</f>
        <v>82750.4653</v>
      </c>
      <c r="E21" s="65"/>
      <c r="F21" s="64"/>
      <c r="G21" s="65" t="n">
        <v>1</v>
      </c>
      <c r="H21" s="64" t="n">
        <f aca="false">D21*G21</f>
        <v>82750.4653</v>
      </c>
      <c r="I21" s="65"/>
      <c r="J21" s="64"/>
      <c r="K21" s="65"/>
      <c r="L21" s="64"/>
      <c r="M21" s="65"/>
      <c r="N21" s="64"/>
    </row>
    <row r="22" customFormat="false" ht="13.8" hidden="false" customHeight="false" outlineLevel="0" collapsed="false">
      <c r="A22" s="62" t="str">
        <f aca="false">Orçamento!A100</f>
        <v>10.0 PISO</v>
      </c>
      <c r="B22" s="62"/>
      <c r="C22" s="63"/>
      <c r="D22" s="64" t="n">
        <f aca="false">Orçamento!J106</f>
        <v>43501.8357</v>
      </c>
      <c r="E22" s="65"/>
      <c r="F22" s="64"/>
      <c r="G22" s="65"/>
      <c r="H22" s="64"/>
      <c r="I22" s="65" t="n">
        <v>1</v>
      </c>
      <c r="J22" s="64" t="n">
        <f aca="false">D22*I22</f>
        <v>43501.8357</v>
      </c>
      <c r="K22" s="65"/>
      <c r="L22" s="64"/>
      <c r="M22" s="65"/>
      <c r="N22" s="64"/>
    </row>
    <row r="23" customFormat="false" ht="13.8" hidden="false" customHeight="false" outlineLevel="0" collapsed="false">
      <c r="A23" s="62" t="str">
        <f aca="false">Orçamento!A107</f>
        <v>11.0 REVESTIMENTOS</v>
      </c>
      <c r="B23" s="62"/>
      <c r="C23" s="63"/>
      <c r="D23" s="64" t="n">
        <f aca="false">Orçamento!J127</f>
        <v>57116.8221</v>
      </c>
      <c r="E23" s="65"/>
      <c r="F23" s="64"/>
      <c r="G23" s="65" t="n">
        <v>1</v>
      </c>
      <c r="H23" s="64" t="n">
        <f aca="false">D23*G23</f>
        <v>57116.8221</v>
      </c>
      <c r="I23" s="65"/>
      <c r="J23" s="64"/>
      <c r="K23" s="65"/>
      <c r="L23" s="64"/>
      <c r="M23" s="65"/>
      <c r="N23" s="64"/>
    </row>
    <row r="24" customFormat="false" ht="13.8" hidden="false" customHeight="false" outlineLevel="0" collapsed="false">
      <c r="A24" s="62" t="str">
        <f aca="false">Orçamento!A128</f>
        <v>12.0 ESQUADRIAS</v>
      </c>
      <c r="B24" s="62"/>
      <c r="C24" s="63"/>
      <c r="D24" s="64" t="n">
        <f aca="false">Orçamento!J145</f>
        <v>102444.0262</v>
      </c>
      <c r="E24" s="65"/>
      <c r="F24" s="64"/>
      <c r="G24" s="65"/>
      <c r="H24" s="64"/>
      <c r="I24" s="65"/>
      <c r="J24" s="64"/>
      <c r="K24" s="65" t="n">
        <v>1</v>
      </c>
      <c r="L24" s="64" t="n">
        <f aca="false">D24*K24</f>
        <v>102444.0262</v>
      </c>
      <c r="M24" s="65"/>
      <c r="N24" s="64"/>
    </row>
    <row r="25" customFormat="false" ht="13.8" hidden="false" customHeight="false" outlineLevel="0" collapsed="false">
      <c r="A25" s="62" t="str">
        <f aca="false">Orçamento!A146</f>
        <v>13.0 PINTURA</v>
      </c>
      <c r="B25" s="62"/>
      <c r="C25" s="63"/>
      <c r="D25" s="64" t="n">
        <f aca="false">Orçamento!J154</f>
        <v>22637.6109</v>
      </c>
      <c r="E25" s="65"/>
      <c r="F25" s="64"/>
      <c r="G25" s="65"/>
      <c r="H25" s="64"/>
      <c r="I25" s="65" t="n">
        <v>1</v>
      </c>
      <c r="J25" s="64" t="n">
        <f aca="false">D25*I25</f>
        <v>22637.6109</v>
      </c>
      <c r="K25" s="65"/>
      <c r="L25" s="64"/>
      <c r="M25" s="65"/>
      <c r="N25" s="64"/>
    </row>
    <row r="26" customFormat="false" ht="13.8" hidden="false" customHeight="false" outlineLevel="0" collapsed="false">
      <c r="A26" s="62" t="str">
        <f aca="false">Orçamento!A155</f>
        <v>14. MOBILIÁRIOS BANHEIRO</v>
      </c>
      <c r="B26" s="62"/>
      <c r="C26" s="63"/>
      <c r="D26" s="64" t="n">
        <f aca="false">Orçamento!J173</f>
        <v>18304.51</v>
      </c>
      <c r="E26" s="65"/>
      <c r="F26" s="64"/>
      <c r="G26" s="65"/>
      <c r="H26" s="64"/>
      <c r="I26" s="65"/>
      <c r="J26" s="64"/>
      <c r="K26" s="65" t="n">
        <v>1</v>
      </c>
      <c r="L26" s="64" t="n">
        <f aca="false">D26*K26</f>
        <v>18304.51</v>
      </c>
      <c r="M26" s="65"/>
      <c r="N26" s="64"/>
    </row>
    <row r="27" customFormat="false" ht="13.8" hidden="false" customHeight="false" outlineLevel="0" collapsed="false">
      <c r="A27" s="62" t="str">
        <f aca="false">Orçamento!A174</f>
        <v>15.0 INSTALAÇÕES HIDROSSANITÁRIAS</v>
      </c>
      <c r="B27" s="62"/>
      <c r="C27" s="63"/>
      <c r="D27" s="64" t="n">
        <f aca="false">Orçamento!J190</f>
        <v>32849.09</v>
      </c>
      <c r="E27" s="65" t="n">
        <v>1</v>
      </c>
      <c r="F27" s="64" t="n">
        <f aca="false">D27*E27</f>
        <v>32849.09</v>
      </c>
      <c r="G27" s="65"/>
      <c r="H27" s="64"/>
      <c r="I27" s="65"/>
      <c r="J27" s="64"/>
      <c r="K27" s="65"/>
      <c r="L27" s="64"/>
      <c r="M27" s="65"/>
      <c r="N27" s="64"/>
    </row>
    <row r="28" customFormat="false" ht="13.8" hidden="false" customHeight="false" outlineLevel="0" collapsed="false">
      <c r="A28" s="62" t="str">
        <f aca="false">Orçamento!A191</f>
        <v>16.0 INSTALAÇÕES ELÉTRICAS</v>
      </c>
      <c r="B28" s="62"/>
      <c r="C28" s="63"/>
      <c r="D28" s="64" t="n">
        <f aca="false">Orçamento!J223</f>
        <v>36298.23</v>
      </c>
      <c r="E28" s="65"/>
      <c r="F28" s="64"/>
      <c r="G28" s="65" t="n">
        <v>0.5</v>
      </c>
      <c r="H28" s="64" t="n">
        <f aca="false">D28*G28</f>
        <v>18149.115</v>
      </c>
      <c r="I28" s="65" t="n">
        <v>0.5</v>
      </c>
      <c r="J28" s="64" t="n">
        <f aca="false">D28*I28</f>
        <v>18149.115</v>
      </c>
      <c r="K28" s="65"/>
      <c r="L28" s="64"/>
      <c r="M28" s="65"/>
      <c r="N28" s="64"/>
    </row>
    <row r="29" customFormat="false" ht="13.8" hidden="false" customHeight="false" outlineLevel="0" collapsed="false">
      <c r="A29" s="62" t="str">
        <f aca="false">Orçamento!A224</f>
        <v>17.0 CENTRAL DE GÁS</v>
      </c>
      <c r="B29" s="62"/>
      <c r="C29" s="63"/>
      <c r="D29" s="64" t="n">
        <f aca="false">Orçamento!J260</f>
        <v>9617.16036</v>
      </c>
      <c r="E29" s="65"/>
      <c r="F29" s="64"/>
      <c r="G29" s="65"/>
      <c r="H29" s="64"/>
      <c r="I29" s="65"/>
      <c r="J29" s="64"/>
      <c r="K29" s="65" t="n">
        <v>1</v>
      </c>
      <c r="L29" s="64" t="n">
        <f aca="false">D29*K29</f>
        <v>9617.16036</v>
      </c>
      <c r="M29" s="65"/>
      <c r="N29" s="64"/>
    </row>
    <row r="30" customFormat="false" ht="13.8" hidden="false" customHeight="false" outlineLevel="0" collapsed="false">
      <c r="A30" s="1" t="s">
        <v>831</v>
      </c>
      <c r="B30" s="1"/>
      <c r="C30" s="65" t="n">
        <v>0.5996</v>
      </c>
      <c r="D30" s="64" t="n">
        <f aca="false">SUM(D13:D29)</f>
        <v>637826.31936</v>
      </c>
      <c r="E30" s="65" t="n">
        <f aca="false">(C30*F30)/D30</f>
        <v>0.198308057368685</v>
      </c>
      <c r="F30" s="64" t="n">
        <f aca="false">SUM(F13:F29)</f>
        <v>210950.79775</v>
      </c>
      <c r="G30" s="65" t="n">
        <f aca="false">(C30*H30)/D30</f>
        <v>0.19950238129449</v>
      </c>
      <c r="H30" s="64" t="n">
        <f aca="false">SUM(H13:H29)</f>
        <v>212221.26345</v>
      </c>
      <c r="I30" s="65" t="n">
        <f aca="false">(C30*J30)/D30</f>
        <v>0.0792369646741321</v>
      </c>
      <c r="J30" s="64" t="n">
        <f aca="false">SUM(J13:J29)</f>
        <v>84288.5616</v>
      </c>
      <c r="K30" s="65" t="n">
        <f aca="false">(C30*L30)/D30</f>
        <v>0.122552596662693</v>
      </c>
      <c r="L30" s="64" t="n">
        <f aca="false">SUM(L13:L29)</f>
        <v>130365.69656</v>
      </c>
      <c r="M30" s="65" t="n">
        <v>0</v>
      </c>
      <c r="N30" s="64" t="n">
        <v>0</v>
      </c>
    </row>
    <row r="31" customFormat="false" ht="13.8" hidden="false" customHeight="false" outlineLevel="0" collapsed="false">
      <c r="A31" s="1" t="s">
        <v>832</v>
      </c>
      <c r="B31" s="1"/>
      <c r="C31" s="65" t="n">
        <f aca="false">C30</f>
        <v>0.5996</v>
      </c>
      <c r="D31" s="71"/>
      <c r="E31" s="72" t="n">
        <f aca="false">E30</f>
        <v>0.198308057368685</v>
      </c>
      <c r="F31" s="64" t="n">
        <f aca="false">F30</f>
        <v>210950.79775</v>
      </c>
      <c r="G31" s="72" t="n">
        <f aca="false">G30+E30</f>
        <v>0.397810438663175</v>
      </c>
      <c r="H31" s="64" t="n">
        <f aca="false">H30+F30</f>
        <v>423172.0612</v>
      </c>
      <c r="I31" s="72" t="n">
        <f aca="false">G30+E30+I30</f>
        <v>0.477047403337307</v>
      </c>
      <c r="J31" s="64" t="n">
        <f aca="false">H30+F30+J30</f>
        <v>507460.6228</v>
      </c>
      <c r="K31" s="72" t="n">
        <f aca="false">E30+G30+I30+K30</f>
        <v>0.5996</v>
      </c>
      <c r="L31" s="64" t="n">
        <f aca="false">F30+H30+J30+L30</f>
        <v>637826.31936</v>
      </c>
      <c r="M31" s="72" t="n">
        <v>0</v>
      </c>
      <c r="N31" s="64" t="n">
        <v>0</v>
      </c>
    </row>
    <row r="32" customFormat="false" ht="13.8" hidden="false" customHeight="false" outlineLevel="0" collapsed="false">
      <c r="A32" s="73" t="s">
        <v>452</v>
      </c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</row>
    <row r="33" customFormat="false" ht="13.8" hidden="false" customHeight="false" outlineLevel="0" collapsed="false">
      <c r="A33" s="1" t="str">
        <f aca="false">Orçamento!A264</f>
        <v>1.0 CIRCULAÇÃO</v>
      </c>
      <c r="B33" s="1"/>
      <c r="C33" s="65"/>
      <c r="D33" s="74" t="n">
        <f aca="false">Orçamento!J304</f>
        <v>43196.2121</v>
      </c>
      <c r="E33" s="72"/>
      <c r="F33" s="64"/>
      <c r="G33" s="72"/>
      <c r="H33" s="64"/>
      <c r="I33" s="65" t="n">
        <v>1</v>
      </c>
      <c r="J33" s="64" t="n">
        <f aca="false">D33*I33</f>
        <v>43196.2121</v>
      </c>
      <c r="K33" s="72"/>
      <c r="L33" s="64"/>
      <c r="M33" s="72"/>
      <c r="N33" s="64"/>
    </row>
    <row r="34" customFormat="false" ht="13.8" hidden="false" customHeight="false" outlineLevel="0" collapsed="false">
      <c r="A34" s="1" t="str">
        <f aca="false">Orçamento!A305</f>
        <v>2.0 SALAS DE AULA</v>
      </c>
      <c r="B34" s="1"/>
      <c r="C34" s="65"/>
      <c r="D34" s="74" t="n">
        <f aca="false">Orçamento!J326</f>
        <v>48121.7136</v>
      </c>
      <c r="E34" s="72"/>
      <c r="F34" s="64"/>
      <c r="G34" s="72"/>
      <c r="H34" s="64"/>
      <c r="I34" s="65" t="n">
        <v>1</v>
      </c>
      <c r="J34" s="64" t="n">
        <f aca="false">D34*I34</f>
        <v>48121.7136</v>
      </c>
      <c r="K34" s="72"/>
      <c r="L34" s="64"/>
      <c r="M34" s="72"/>
      <c r="N34" s="64"/>
    </row>
    <row r="35" customFormat="false" ht="13.8" hidden="false" customHeight="false" outlineLevel="0" collapsed="false">
      <c r="A35" s="1" t="str">
        <f aca="false">Orçamento!A327</f>
        <v>3.0 REFEITÓRIO</v>
      </c>
      <c r="B35" s="1"/>
      <c r="C35" s="65"/>
      <c r="D35" s="74" t="n">
        <f aca="false">Orçamento!J376</f>
        <v>28614.2379</v>
      </c>
      <c r="E35" s="72"/>
      <c r="F35" s="64"/>
      <c r="G35" s="72"/>
      <c r="H35" s="64"/>
      <c r="I35" s="65" t="n">
        <v>1</v>
      </c>
      <c r="J35" s="64" t="n">
        <f aca="false">D35*I35</f>
        <v>28614.2379</v>
      </c>
      <c r="K35" s="72"/>
      <c r="L35" s="64"/>
      <c r="M35" s="72"/>
      <c r="N35" s="64"/>
    </row>
    <row r="36" customFormat="false" ht="13.8" hidden="false" customHeight="false" outlineLevel="0" collapsed="false">
      <c r="A36" s="1" t="str">
        <f aca="false">Orçamento!A377</f>
        <v>4.0 COZINHA</v>
      </c>
      <c r="B36" s="1"/>
      <c r="C36" s="65"/>
      <c r="D36" s="74" t="n">
        <f aca="false">Orçamento!J422</f>
        <v>17019.3628</v>
      </c>
      <c r="E36" s="72"/>
      <c r="F36" s="64"/>
      <c r="G36" s="72"/>
      <c r="H36" s="64"/>
      <c r="I36" s="72"/>
      <c r="J36" s="64"/>
      <c r="K36" s="65" t="n">
        <v>1</v>
      </c>
      <c r="L36" s="64" t="n">
        <f aca="false">D36*K36</f>
        <v>17019.3628</v>
      </c>
      <c r="M36" s="72"/>
      <c r="N36" s="64"/>
    </row>
    <row r="37" customFormat="false" ht="13.8" hidden="false" customHeight="false" outlineLevel="0" collapsed="false">
      <c r="A37" s="1" t="str">
        <f aca="false">Orçamento!A423</f>
        <v>5.0 LAVANDERIA</v>
      </c>
      <c r="B37" s="1"/>
      <c r="C37" s="65"/>
      <c r="D37" s="74" t="n">
        <f aca="false">Orçamento!J447</f>
        <v>7569.7388</v>
      </c>
      <c r="E37" s="72"/>
      <c r="F37" s="64"/>
      <c r="G37" s="72"/>
      <c r="H37" s="64"/>
      <c r="I37" s="72"/>
      <c r="J37" s="64"/>
      <c r="K37" s="65" t="n">
        <v>1</v>
      </c>
      <c r="L37" s="64" t="n">
        <f aca="false">D37*K37</f>
        <v>7569.7388</v>
      </c>
      <c r="M37" s="72"/>
      <c r="N37" s="64"/>
    </row>
    <row r="38" customFormat="false" ht="13.8" hidden="false" customHeight="false" outlineLevel="0" collapsed="false">
      <c r="A38" s="62" t="str">
        <f aca="false">Orçamento!A448</f>
        <v>6.0 LAVABO FUNCIONÁRIOS</v>
      </c>
      <c r="B38" s="62"/>
      <c r="C38" s="63"/>
      <c r="D38" s="64" t="n">
        <f aca="false">Orçamento!J480</f>
        <v>6822.3635</v>
      </c>
      <c r="E38" s="65"/>
      <c r="F38" s="64"/>
      <c r="G38" s="65"/>
      <c r="H38" s="64"/>
      <c r="I38" s="68"/>
      <c r="J38" s="69"/>
      <c r="K38" s="65" t="n">
        <v>1</v>
      </c>
      <c r="L38" s="64" t="n">
        <f aca="false">D38*K38</f>
        <v>6822.3635</v>
      </c>
      <c r="M38" s="65"/>
      <c r="N38" s="64"/>
    </row>
    <row r="39" customFormat="false" ht="13.8" hidden="false" customHeight="false" outlineLevel="0" collapsed="false">
      <c r="A39" s="62" t="str">
        <f aca="false">Orçamento!A481</f>
        <v>7.0 PLATIBANDA</v>
      </c>
      <c r="B39" s="62"/>
      <c r="C39" s="63"/>
      <c r="D39" s="64" t="n">
        <f aca="false">Orçamento!J492</f>
        <v>18400.2735</v>
      </c>
      <c r="E39" s="65"/>
      <c r="F39" s="64"/>
      <c r="G39" s="65"/>
      <c r="H39" s="64"/>
      <c r="I39" s="68"/>
      <c r="J39" s="69"/>
      <c r="K39" s="65" t="n">
        <v>1</v>
      </c>
      <c r="L39" s="64" t="n">
        <f aca="false">D39*K39</f>
        <v>18400.2735</v>
      </c>
      <c r="M39" s="65"/>
      <c r="N39" s="64"/>
    </row>
    <row r="40" customFormat="false" ht="13.8" hidden="false" customHeight="false" outlineLevel="0" collapsed="false">
      <c r="A40" s="62" t="str">
        <f aca="false">Orçamento!A493</f>
        <v>8.0 COBERTURA</v>
      </c>
      <c r="B40" s="62"/>
      <c r="C40" s="63"/>
      <c r="D40" s="64" t="n">
        <f aca="false">Orçamento!J505</f>
        <v>111248.9116</v>
      </c>
      <c r="E40" s="65"/>
      <c r="F40" s="64"/>
      <c r="G40" s="65"/>
      <c r="H40" s="64"/>
      <c r="I40" s="68"/>
      <c r="J40" s="69"/>
      <c r="K40" s="65" t="n">
        <v>1</v>
      </c>
      <c r="L40" s="64" t="n">
        <f aca="false">D40*K40</f>
        <v>111248.9116</v>
      </c>
      <c r="M40" s="65"/>
      <c r="N40" s="64"/>
    </row>
    <row r="41" customFormat="false" ht="13.8" hidden="false" customHeight="false" outlineLevel="0" collapsed="false">
      <c r="A41" s="62" t="str">
        <f aca="false">Orçamento!A506</f>
        <v>9.0 INSTALAÇÕES ELÉTRICAS</v>
      </c>
      <c r="B41" s="62"/>
      <c r="C41" s="63"/>
      <c r="D41" s="64" t="n">
        <f aca="false">Orçamento!J535</f>
        <v>22748.88</v>
      </c>
      <c r="E41" s="65"/>
      <c r="F41" s="64"/>
      <c r="G41" s="65"/>
      <c r="H41" s="64"/>
      <c r="I41" s="68"/>
      <c r="J41" s="69"/>
      <c r="K41" s="65"/>
      <c r="L41" s="64"/>
      <c r="M41" s="65" t="n">
        <v>1</v>
      </c>
      <c r="N41" s="64" t="n">
        <f aca="false">D41*M41</f>
        <v>22748.88</v>
      </c>
    </row>
    <row r="42" customFormat="false" ht="13.8" hidden="false" customHeight="false" outlineLevel="0" collapsed="false">
      <c r="A42" s="62" t="str">
        <f aca="false">Orçamento!A536</f>
        <v>10.0 PINTURA EXTERNA</v>
      </c>
      <c r="B42" s="62"/>
      <c r="C42" s="63"/>
      <c r="D42" s="64" t="n">
        <f aca="false">Orçamento!J542</f>
        <v>5134.1</v>
      </c>
      <c r="E42" s="65"/>
      <c r="F42" s="64"/>
      <c r="G42" s="65"/>
      <c r="H42" s="64"/>
      <c r="I42" s="68"/>
      <c r="J42" s="69"/>
      <c r="K42" s="65"/>
      <c r="L42" s="64"/>
      <c r="M42" s="65" t="n">
        <v>1</v>
      </c>
      <c r="N42" s="64" t="n">
        <f aca="false">D42*M42</f>
        <v>5134.1</v>
      </c>
    </row>
    <row r="43" customFormat="false" ht="13.8" hidden="false" customHeight="false" outlineLevel="0" collapsed="false">
      <c r="A43" s="62" t="str">
        <f aca="false">Orçamento!A543</f>
        <v>11.0 CALÇADA ENTORNO</v>
      </c>
      <c r="B43" s="62"/>
      <c r="C43" s="63"/>
      <c r="D43" s="64" t="n">
        <f aca="false">Orçamento!J561</f>
        <v>16229.187825</v>
      </c>
      <c r="E43" s="65"/>
      <c r="F43" s="64"/>
      <c r="G43" s="65"/>
      <c r="H43" s="64"/>
      <c r="I43" s="68"/>
      <c r="J43" s="69"/>
      <c r="K43" s="65"/>
      <c r="L43" s="64"/>
      <c r="M43" s="65" t="n">
        <v>1</v>
      </c>
      <c r="N43" s="64" t="n">
        <f aca="false">D43*M43</f>
        <v>16229.187825</v>
      </c>
    </row>
    <row r="44" customFormat="false" ht="13.8" hidden="false" customHeight="false" outlineLevel="0" collapsed="false">
      <c r="A44" s="62" t="str">
        <f aca="false">Orçamento!A562</f>
        <v>12.0 PASSEIO</v>
      </c>
      <c r="B44" s="62"/>
      <c r="C44" s="63"/>
      <c r="D44" s="64" t="n">
        <f aca="false">Orçamento!J581</f>
        <v>92658.1744</v>
      </c>
      <c r="E44" s="65"/>
      <c r="F44" s="64"/>
      <c r="G44" s="65"/>
      <c r="H44" s="64"/>
      <c r="I44" s="68"/>
      <c r="J44" s="69"/>
      <c r="K44" s="65"/>
      <c r="L44" s="64"/>
      <c r="M44" s="65" t="n">
        <v>1</v>
      </c>
      <c r="N44" s="64" t="n">
        <f aca="false">D44*M44</f>
        <v>92658.1744</v>
      </c>
    </row>
    <row r="45" customFormat="false" ht="13.8" hidden="false" customHeight="false" outlineLevel="0" collapsed="false">
      <c r="A45" s="62" t="str">
        <f aca="false">Orçamento!A582</f>
        <v>13.0 SERVIÇOS FINAIS</v>
      </c>
      <c r="B45" s="62"/>
      <c r="C45" s="63"/>
      <c r="D45" s="64" t="n">
        <f aca="false">Orçamento!J586</f>
        <v>6856.645</v>
      </c>
      <c r="E45" s="65"/>
      <c r="F45" s="64"/>
      <c r="G45" s="65"/>
      <c r="H45" s="64"/>
      <c r="I45" s="68"/>
      <c r="J45" s="69"/>
      <c r="K45" s="65"/>
      <c r="L45" s="64"/>
      <c r="M45" s="65" t="n">
        <v>1</v>
      </c>
      <c r="N45" s="64" t="n">
        <f aca="false">D45*M45</f>
        <v>6856.645</v>
      </c>
    </row>
    <row r="46" customFormat="false" ht="13.8" hidden="false" customHeight="false" outlineLevel="0" collapsed="false">
      <c r="A46" s="1" t="s">
        <v>833</v>
      </c>
      <c r="B46" s="1"/>
      <c r="C46" s="65" t="n">
        <v>0.4004</v>
      </c>
      <c r="D46" s="64" t="n">
        <f aca="false">SUM(D33:D45)</f>
        <v>424619.801025</v>
      </c>
      <c r="E46" s="65" t="n">
        <f aca="false">(C46*F46)/D46</f>
        <v>0</v>
      </c>
      <c r="F46" s="64" t="n">
        <v>0</v>
      </c>
      <c r="G46" s="65" t="n">
        <f aca="false">(C46*H46)/D46</f>
        <v>0</v>
      </c>
      <c r="H46" s="64" t="n">
        <v>0</v>
      </c>
      <c r="I46" s="65" t="n">
        <f aca="false">(C46*J46)/D46</f>
        <v>0.113091377720778</v>
      </c>
      <c r="J46" s="64" t="n">
        <f aca="false">SUM(J33:J45)</f>
        <v>119932.1636</v>
      </c>
      <c r="K46" s="65" t="n">
        <f aca="false">(C46*L46)/D46</f>
        <v>0.151873945078419</v>
      </c>
      <c r="L46" s="64" t="n">
        <f aca="false">SUM(L33:L45)</f>
        <v>161060.6502</v>
      </c>
      <c r="M46" s="65" t="n">
        <f aca="false">(C46*N46)/D46</f>
        <v>0.135434677200803</v>
      </c>
      <c r="N46" s="64" t="n">
        <f aca="false">SUM(N33:N45)</f>
        <v>143626.987225</v>
      </c>
    </row>
    <row r="47" customFormat="false" ht="13.8" hidden="false" customHeight="false" outlineLevel="0" collapsed="false">
      <c r="A47" s="1" t="s">
        <v>834</v>
      </c>
      <c r="B47" s="1"/>
      <c r="C47" s="65" t="n">
        <f aca="false">C46</f>
        <v>0.4004</v>
      </c>
      <c r="D47" s="71"/>
      <c r="E47" s="72" t="n">
        <f aca="false">E46</f>
        <v>0</v>
      </c>
      <c r="F47" s="64" t="n">
        <f aca="false">F46</f>
        <v>0</v>
      </c>
      <c r="G47" s="72" t="n">
        <f aca="false">G46+E46</f>
        <v>0</v>
      </c>
      <c r="H47" s="64" t="n">
        <f aca="false">H46+F46</f>
        <v>0</v>
      </c>
      <c r="I47" s="72" t="n">
        <f aca="false">G46+E46+I46</f>
        <v>0.113091377720778</v>
      </c>
      <c r="J47" s="64" t="n">
        <f aca="false">H46+F46+J46</f>
        <v>119932.1636</v>
      </c>
      <c r="K47" s="72" t="n">
        <f aca="false">E46+G46+I46+K46</f>
        <v>0.264965322799197</v>
      </c>
      <c r="L47" s="64" t="n">
        <f aca="false">F46+H46+J46+L46</f>
        <v>280992.8138</v>
      </c>
      <c r="M47" s="72" t="n">
        <f aca="false">G46+I46+K46+M46</f>
        <v>0.4004</v>
      </c>
      <c r="N47" s="64" t="n">
        <f aca="false">H46+J46+L46+N46</f>
        <v>424619.801025</v>
      </c>
    </row>
    <row r="48" customFormat="false" ht="13.8" hidden="false" customHeight="false" outlineLevel="0" collapsed="false">
      <c r="A48" s="75" t="s">
        <v>835</v>
      </c>
      <c r="B48" s="75"/>
      <c r="C48" s="76" t="n">
        <v>1</v>
      </c>
      <c r="D48" s="77"/>
      <c r="E48" s="78" t="n">
        <f aca="false">E46+E30</f>
        <v>0.198308057368685</v>
      </c>
      <c r="F48" s="79" t="n">
        <f aca="false">F46+F30</f>
        <v>210950.79775</v>
      </c>
      <c r="G48" s="78" t="n">
        <f aca="false">G46+G30+E30</f>
        <v>0.397810438663175</v>
      </c>
      <c r="H48" s="79" t="n">
        <f aca="false">H46+H30+F30</f>
        <v>423172.0612</v>
      </c>
      <c r="I48" s="78" t="n">
        <f aca="false">I46+I30+G30+E30</f>
        <v>0.590138781058086</v>
      </c>
      <c r="J48" s="79" t="n">
        <f aca="false">J46+J30+H30+F30</f>
        <v>627392.7864</v>
      </c>
      <c r="K48" s="78" t="n">
        <f aca="false">K46+I46+K30+I30+G30+E30</f>
        <v>0.864565322799197</v>
      </c>
      <c r="L48" s="79" t="n">
        <f aca="false">L46+J46+L30+J30+H30+F30</f>
        <v>918819.13316</v>
      </c>
      <c r="M48" s="78" t="n">
        <f aca="false">M46+K46+I46+K30+I30+G30+E30</f>
        <v>1</v>
      </c>
      <c r="N48" s="79" t="n">
        <f aca="false">N46+L46+J46+L30+J30+H30+F30</f>
        <v>1062446.120385</v>
      </c>
    </row>
    <row r="49" customFormat="false" ht="13.8" hidden="false" customHeight="false" outlineLevel="0" collapsed="false">
      <c r="A49" s="80"/>
      <c r="B49" s="80"/>
      <c r="C49" s="80"/>
      <c r="D49" s="80"/>
      <c r="E49" s="81"/>
      <c r="F49" s="81"/>
      <c r="G49" s="81"/>
      <c r="H49" s="81"/>
      <c r="I49" s="81"/>
      <c r="J49" s="81"/>
      <c r="K49" s="81"/>
      <c r="L49" s="80"/>
      <c r="M49" s="80"/>
      <c r="N49" s="80"/>
    </row>
    <row r="50" customFormat="false" ht="13.8" hidden="false" customHeight="true" outlineLevel="0" collapsed="false">
      <c r="A50" s="82" t="s">
        <v>813</v>
      </c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</row>
    <row r="51" customFormat="false" ht="15" hidden="false" customHeight="true" outlineLevel="0" collapsed="false">
      <c r="A51" s="80"/>
      <c r="B51" s="83"/>
      <c r="C51" s="83"/>
      <c r="D51" s="80"/>
      <c r="E51" s="80"/>
      <c r="F51" s="83"/>
      <c r="G51" s="83"/>
      <c r="H51" s="83"/>
      <c r="I51" s="80"/>
      <c r="J51" s="80"/>
      <c r="K51" s="80"/>
      <c r="L51" s="80"/>
      <c r="M51" s="80"/>
      <c r="N51" s="80"/>
    </row>
    <row r="52" customFormat="false" ht="13.8" hidden="false" customHeight="false" outlineLevel="0" collapsed="false">
      <c r="D52" s="55" t="s">
        <v>814</v>
      </c>
      <c r="E52" s="55"/>
      <c r="F52" s="55"/>
      <c r="G52" s="55"/>
      <c r="H52" s="55" t="s">
        <v>814</v>
      </c>
      <c r="I52" s="55"/>
      <c r="J52" s="55"/>
      <c r="K52" s="53"/>
      <c r="L52" s="53"/>
      <c r="M52" s="80"/>
      <c r="N52" s="80"/>
    </row>
    <row r="53" customFormat="false" ht="13.9" hidden="false" customHeight="true" outlineLevel="0" collapsed="false">
      <c r="D53" s="55" t="s">
        <v>815</v>
      </c>
      <c r="E53" s="55"/>
      <c r="F53" s="55"/>
      <c r="G53" s="55"/>
      <c r="H53" s="55" t="s">
        <v>816</v>
      </c>
      <c r="I53" s="55"/>
      <c r="J53" s="55"/>
      <c r="K53" s="55"/>
      <c r="L53" s="55"/>
      <c r="M53" s="80"/>
      <c r="N53" s="80"/>
    </row>
    <row r="54" customFormat="false" ht="13.9" hidden="false" customHeight="true" outlineLevel="0" collapsed="false">
      <c r="D54" s="55" t="s">
        <v>817</v>
      </c>
      <c r="E54" s="55"/>
      <c r="F54" s="55"/>
      <c r="G54" s="55"/>
      <c r="H54" s="55" t="s">
        <v>818</v>
      </c>
      <c r="I54" s="55"/>
      <c r="J54" s="55"/>
      <c r="K54" s="55"/>
      <c r="L54" s="55"/>
      <c r="M54" s="80"/>
      <c r="N54" s="80"/>
    </row>
    <row r="55" customFormat="false" ht="13.9" hidden="false" customHeight="true" outlineLevel="0" collapsed="false"/>
  </sheetData>
  <mergeCells count="51">
    <mergeCell ref="A1:N5"/>
    <mergeCell ref="A6:N6"/>
    <mergeCell ref="A7:N7"/>
    <mergeCell ref="A8:N8"/>
    <mergeCell ref="A9:N9"/>
    <mergeCell ref="A10:N10"/>
    <mergeCell ref="A11:B11"/>
    <mergeCell ref="A12:N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N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50:N50"/>
    <mergeCell ref="D52:F52"/>
    <mergeCell ref="H52:J52"/>
    <mergeCell ref="D53:F53"/>
    <mergeCell ref="H53:J53"/>
    <mergeCell ref="D54:F54"/>
    <mergeCell ref="H54:J5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5" activeCellId="0" sqref="J5"/>
    </sheetView>
  </sheetViews>
  <sheetFormatPr defaultRowHeight="15" zeroHeight="false" outlineLevelRow="0" outlineLevelCol="0"/>
  <cols>
    <col collapsed="false" customWidth="true" hidden="false" outlineLevel="0" max="2" min="1" style="0" width="8.71"/>
    <col collapsed="false" customWidth="true" hidden="false" outlineLevel="0" max="3" min="3" style="0" width="45.98"/>
    <col collapsed="false" customWidth="true" hidden="false" outlineLevel="0" max="1025" min="4" style="0" width="8.71"/>
  </cols>
  <sheetData>
    <row r="1" customFormat="false" ht="15" hidden="false" customHeight="false" outlineLevel="0" collapsed="false">
      <c r="A1" s="84"/>
      <c r="B1" s="85"/>
      <c r="C1" s="86"/>
      <c r="D1" s="87"/>
      <c r="E1" s="88"/>
      <c r="F1" s="87"/>
      <c r="G1" s="89"/>
      <c r="H1" s="87"/>
      <c r="I1" s="87"/>
      <c r="J1" s="89"/>
    </row>
    <row r="2" customFormat="false" ht="15" hidden="false" customHeight="false" outlineLevel="0" collapsed="false">
      <c r="C2" s="90"/>
      <c r="D2" s="87"/>
      <c r="E2" s="88"/>
      <c r="F2" s="87"/>
      <c r="G2" s="89"/>
      <c r="H2" s="87"/>
      <c r="I2" s="87"/>
      <c r="J2" s="89"/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16213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2018-09-24T17:21:08Z</dcterms:created>
  <dc:creator>TecleEnter</dc:creator>
  <dc:description/>
  <dc:language>pt-BR</dc:language>
  <cp:lastModifiedBy/>
  <cp:lastPrinted>2021-09-08T08:45:02Z</cp:lastPrinted>
  <dcterms:modified xsi:type="dcterms:W3CDTF">2021-09-08T09:39:00Z</dcterms:modified>
  <cp:revision>2698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