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jpeg" ContentType="image/jpeg"/>
  <Override PartName="/xl/media/image2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Orçamento" sheetId="1" state="visible" r:id="rId2"/>
    <sheet name="Cronograma" sheetId="2" state="visible" r:id="rId3"/>
    <sheet name="Plan1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<sst xmlns="http://schemas.openxmlformats.org/spreadsheetml/2006/main" count="466" uniqueCount="315">
  <si>
    <t xml:space="preserve">ORÇAMENTO BANHEIROS  – PARQUE DE EXPOSIÇÕES DA FEICAP</t>
  </si>
  <si>
    <r>
      <rPr>
        <b val="true"/>
        <sz val="10"/>
        <color rgb="FF000000"/>
        <rFont val="Times New Roman"/>
        <family val="1"/>
        <charset val="1"/>
      </rPr>
      <t xml:space="preserve">EMPREENDIMENTO:</t>
    </r>
    <r>
      <rPr>
        <b val="true"/>
        <sz val="10"/>
        <rFont val="Times New Roman"/>
        <family val="1"/>
        <charset val="1"/>
      </rPr>
      <t xml:space="preserve"> CONSTRUÇÃO DOS BANHEIROS – PARQUE DE EXPOSIÇÕES DA FEICAP</t>
    </r>
  </si>
  <si>
    <t xml:space="preserve">PROPRIETÁRIO: MUNICÍPIO DE TRÊS PASSOS</t>
  </si>
  <si>
    <t xml:space="preserve">ENDEREÇO: AV. COSTA E SILVA, Nº 2411 – PARQUE DE EXPOSIÇÕES DA FEICAP</t>
  </si>
  <si>
    <t xml:space="preserve">ÁREA TOTAL: 63,89M²</t>
  </si>
  <si>
    <t xml:space="preserve">CUSTO TOTAL: R$ 254.261,19</t>
  </si>
  <si>
    <t xml:space="preserve">SINAPI 03/2022</t>
  </si>
  <si>
    <t xml:space="preserve">NÃO DESONERADO - ENCARGOS SOCIAIS SOBRE PREÇOS DA MÃO-DE-OBRA: 111,22%(HORA) 69,19%(MÊS)</t>
  </si>
  <si>
    <t xml:space="preserve">BDI 25%</t>
  </si>
  <si>
    <t xml:space="preserve">Código SINAPI 03/2022</t>
  </si>
  <si>
    <t xml:space="preserve">Item</t>
  </si>
  <si>
    <t xml:space="preserve">Discriminações de Serviços</t>
  </si>
  <si>
    <t xml:space="preserve">Uni</t>
  </si>
  <si>
    <t xml:space="preserve">Quantidades (A)</t>
  </si>
  <si>
    <t xml:space="preserve">Custo Unitário (R$)</t>
  </si>
  <si>
    <t xml:space="preserve">Material (B)</t>
  </si>
  <si>
    <t xml:space="preserve">Mão de Obra (C)</t>
  </si>
  <si>
    <t xml:space="preserve">TOTAL (R$)     D = A x (B+C)</t>
  </si>
  <si>
    <t xml:space="preserve">BANHEIROS NOVOS</t>
  </si>
  <si>
    <t xml:space="preserve">1.0 SERVIÇOS INICIAIS</t>
  </si>
  <si>
    <t xml:space="preserve">I 4813</t>
  </si>
  <si>
    <t xml:space="preserve">1.1</t>
  </si>
  <si>
    <t xml:space="preserve">PLACA DE OBRA (PARA CONSTRUCAO CIVIL) EM CHAPA GALVANIZADA *N. 22*, ADESIVADA, DE *2,4 X 1,2* M (SEM POSTES PARA FIXACAO)</t>
  </si>
  <si>
    <t xml:space="preserve">m²</t>
  </si>
  <si>
    <t xml:space="preserve">1.2</t>
  </si>
  <si>
    <t xml:space="preserve">EXECUÇÃO DE DEPÓSITO EM CANTEIRO DE OBRA EM CHAPA DE MADEIRA COMPENSADA, NÃO INCLUSO MOBILIÁRIO.</t>
  </si>
  <si>
    <t xml:space="preserve">1.3</t>
  </si>
  <si>
    <t xml:space="preserve">TAPUME COM TELHA METÁLICA</t>
  </si>
  <si>
    <t xml:space="preserve">TOTAL</t>
  </si>
  <si>
    <t xml:space="preserve">2.0 TRABALHOS EM TERRA</t>
  </si>
  <si>
    <t xml:space="preserve">2.1</t>
  </si>
  <si>
    <t xml:space="preserve">LOCACAO CONVENCIONAL DE OBRA, UTILIZANDO GABARITO DE TÁBUAS CORRIDAS PONTALETADAS A CADA 2,00M - 2 UTILIZAÇÕES</t>
  </si>
  <si>
    <t xml:space="preserve">m</t>
  </si>
  <si>
    <t xml:space="preserve">2.2</t>
  </si>
  <si>
    <t xml:space="preserve">ESCAVAÇÃO MECANIZADA PARA VIGA BALDRAME COM MINI-ESCAVADEIRA (INCLUINDO ESCAVAÇÃO PARA COLOCAÇÃO DE FÔRMAS)</t>
  </si>
  <si>
    <t xml:space="preserve">m³</t>
  </si>
  <si>
    <t xml:space="preserve">2.3</t>
  </si>
  <si>
    <t xml:space="preserve">ESCAVAÇÃO MECANIZADA PARA BLOCO DE COROAMENTO OU SAPATA COM RETROESCAVADEIRA (SEM ESCAVAÇÃO PARA COLOCAÇÃO DE FÔRMAS).</t>
  </si>
  <si>
    <t xml:space="preserve">2.4</t>
  </si>
  <si>
    <t xml:space="preserve">REATERRO MANUAL APILOADO COM SOQUETE</t>
  </si>
  <si>
    <t xml:space="preserve">3.0 INFRAESTRUTURA</t>
  </si>
  <si>
    <t xml:space="preserve">3.1</t>
  </si>
  <si>
    <t xml:space="preserve"> LASTRO COM MATERIAL GRANULAR, APLICAÇÃO EM BLOCOS DE COROAMENTO E VIGA BALDRAME, ESPESSURA DE *5 CM*.</t>
  </si>
  <si>
    <t xml:space="preserve">3.2</t>
  </si>
  <si>
    <t xml:space="preserve">ARMAÇÃO DE VIGA BALDRAME E SAPATA UTILIZANDO AÇO CA-50 DE 10 MM – MONTAGEM</t>
  </si>
  <si>
    <t xml:space="preserve">Kg</t>
  </si>
  <si>
    <t xml:space="preserve">3.3</t>
  </si>
  <si>
    <t xml:space="preserve">ARMAÇÃO DE VIGA BALDRAME UTILIZANDO AÇO CA-60 DE 5 MM- MONTAGEM</t>
  </si>
  <si>
    <t xml:space="preserve">3.4</t>
  </si>
  <si>
    <t xml:space="preserve">FABRICAÇÃO, MONTAGEM E DESMONTAGEM DE FÔRMA PARA VIGA BALDRAME, EM MADEIRA SERRADA, E=25 MM, 1 UTILIZAÇÃO</t>
  </si>
  <si>
    <t xml:space="preserve">3.5</t>
  </si>
  <si>
    <t xml:space="preserve">CONCRETAGEM DE BLOCOS DE COROAMENTO E VIGAS BALDRAMES, FCK 30 MPA, COM USO DE BOMBA LANÇAMENTO, ADENSAMENTO E ACABAMENTO.</t>
  </si>
  <si>
    <t xml:space="preserve">3.6</t>
  </si>
  <si>
    <t xml:space="preserve">IMPERMEABILIZAÇÃO DE SUPERFÍCIE COM EMULSÃO ASFÁLTICA, 2 DEMÃOS</t>
  </si>
  <si>
    <t xml:space="preserve">4.0 PAREDES</t>
  </si>
  <si>
    <t xml:space="preserve">4.1</t>
  </si>
  <si>
    <t xml:space="preserve">ALVENARIA DE VEDAÇÃO DE BLOCOS CERÂMICOS FURADOS NA HORIZONTAL DE 11,5X19X19 CM (ESPESSURA 11,5 CM) E ARGAMASSA DE ASSENTAMENTO COM PREPARO EM BETONEIRA.</t>
  </si>
  <si>
    <t xml:space="preserve">5.0 SUPERESTRUTURA</t>
  </si>
  <si>
    <t xml:space="preserve">5.1 PILARES</t>
  </si>
  <si>
    <t xml:space="preserve">5.1.1</t>
  </si>
  <si>
    <t xml:space="preserve">ARMAÇÃO DE PILAR DE UMA ESTRUTURA CONVENCIONAL DE CONCRETO ARMADO EM UMA EDIFICAÇÃO TÉRREA OU SOBRADO UTILIZANDO AÇO CA-50 DE 10,0 M M – MONTAGEM</t>
  </si>
  <si>
    <t xml:space="preserve">5.1.2</t>
  </si>
  <si>
    <t xml:space="preserve">ARMAÇÃO DE PILAR DE UMA ESTRUTURA CONVENCIONAL DE CONCRETO ARMADO EM UMA EDIFICAÇÃO TÉRREA OU SOBRADO UTILIZANDO AÇO CA-60 DE 5,0 MM – MONTAGEM</t>
  </si>
  <si>
    <t xml:space="preserve">5.1.3</t>
  </si>
  <si>
    <t xml:space="preserve">FABRICAÇÃO DE FÔRMA PARA PILARES E ESTRUTURAS SIMILARES, EM MADEIRA SERRADA, E=25 MM.</t>
  </si>
  <si>
    <t xml:space="preserve">5.1.4</t>
  </si>
  <si>
    <t xml:space="preserve">CONCRETAGEM DE PILARES, FCK = 25 MPA, COM USO DE BOMBA - LANÇAMENTO, ADENSAMENTO E ACABAMENTO</t>
  </si>
  <si>
    <t xml:space="preserve">5.2 VIGAS</t>
  </si>
  <si>
    <t xml:space="preserve">5.2.1</t>
  </si>
  <si>
    <t xml:space="preserve">ARMAÇÃO DE VIGA DE UMA ESTRUTURA CONVENCIONAL DE CONCRETO ARMADO EM UMA EDIFICAÇÃO TÉRREA OU SOBRADO UTILIZANDO AÇO CA-50 DE 10,0 M M – MONTAGEM</t>
  </si>
  <si>
    <t xml:space="preserve">5.2.2</t>
  </si>
  <si>
    <t xml:space="preserve">ARMAÇÃO DE VIGA DE UMA ESTRUTURA CONVENCIONAL DE CONCRETO ARMADO EM UMA EDIFICAÇÃO TÉRREA OU SOBRADO UTILIZANDO AÇO CA-60 DE 5,0 MM – MONTAGEM</t>
  </si>
  <si>
    <t xml:space="preserve">5.2.3</t>
  </si>
  <si>
    <t xml:space="preserve">FABRICAÇÃO DE FÔRMA PARA VIGAS, COM MADEIRA SERRADA, E = 25 MM.</t>
  </si>
  <si>
    <t xml:space="preserve">5.2.4</t>
  </si>
  <si>
    <t xml:space="preserve">CONCRETAGEM DE VIGAS, FCK=25 MPA, COM USO DE BOMBA - LANÇAMENTO, ADENSAMENTO E ACABAMENTO.</t>
  </si>
  <si>
    <t xml:space="preserve">5.3 LAJES</t>
  </si>
  <si>
    <t xml:space="preserve">5.3.1</t>
  </si>
  <si>
    <t xml:space="preserve">LAJE PRÉ-MOLDADA UNIDIRECIONAL, BIAPOIADA, PARA FORRO, ENCHIMENTO EM CERÂMICA, VIGOTA CONVENCIONAL, ALTURA TOTAL DA LAJE (ENCHIMENTO+CAPA) = (8+3).</t>
  </si>
  <si>
    <t xml:space="preserve">6.0 VERGAS E CONTRAVERGAS</t>
  </si>
  <si>
    <t xml:space="preserve">6.1</t>
  </si>
  <si>
    <t xml:space="preserve">CONTRAVERGA MOLDADA IN LOCO EM CONCRETO PARA VÃOS DE ATÉ 1,5 M DE COMPRIMENT</t>
  </si>
  <si>
    <t xml:space="preserve">6.2</t>
  </si>
  <si>
    <t xml:space="preserve">CONTRAVERGA MOLDADA IN LOCO EM CONCRETO PARA VÃOS DE MAIS DE 1,5 M DE COMPRIMENTO</t>
  </si>
  <si>
    <t xml:space="preserve">6.3</t>
  </si>
  <si>
    <t xml:space="preserve">VERGA MOLDADA IN LOCO EM CONCRETO PARA PORTAS COM ATÉ 1,5 M DE VÃO.</t>
  </si>
  <si>
    <t xml:space="preserve">6.4</t>
  </si>
  <si>
    <t xml:space="preserve">7.0 PLATIBANDA</t>
  </si>
  <si>
    <t xml:space="preserve">7.1</t>
  </si>
  <si>
    <t xml:space="preserve">7.2</t>
  </si>
  <si>
    <t xml:space="preserve">7.3</t>
  </si>
  <si>
    <t xml:space="preserve">7.4</t>
  </si>
  <si>
    <t xml:space="preserve">8.0 COBERTURA</t>
  </si>
  <si>
    <t xml:space="preserve">8.1</t>
  </si>
  <si>
    <t xml:space="preserve">CONTRAPISO EM ARGAMASSA TRAÇO 1:4 (CIMENTO E AREIA), PREPARO MECÂNICO COM BETONEIRA 400 L, APLICADO EM ÁREAS MOLHADAS SOBRE LAJE, ADERIDO, ACABAMENTO NÃO REFORÇADO, ESPESSURA 3CM.</t>
  </si>
  <si>
    <t xml:space="preserve">8.2</t>
  </si>
  <si>
    <t xml:space="preserve">IMPERMEABILIZAÇÃO DE SUPERFÍCIE COM MANTA ASFÁLTICA, UMA CAMADA, INCLUSIVE APLICAÇÃO DE PRIMER ASFÁLTICO, E=3MM.</t>
  </si>
  <si>
    <t xml:space="preserve">8.3</t>
  </si>
  <si>
    <t xml:space="preserve">FABRICAÇÃO E INSTALAÇÃO DE TESOURA INTEIRA EM AÇO, VÃO DE 9 M, PARA TELHA ONDULADA DE FIBROCIMENTO, METÁLICA, PLÁSTICA OU TERMOACÚSTICA, INC LUSO IÇAMENTO</t>
  </si>
  <si>
    <t xml:space="preserve">uni</t>
  </si>
  <si>
    <t xml:space="preserve">8.4</t>
  </si>
  <si>
    <t xml:space="preserve">TRAMA DE AÇO COMPOSTA POR TERÇAS PARA TELHADOS DE ATÉ 2 ÁGUAS PARA TELHA ONDULADA DE FIBROCIMENTO, METÁLICA, PLÁSTICA OU TERMOACÚSTICA, INCL USO TRANSPORTE VERTICAL</t>
  </si>
  <si>
    <t xml:space="preserve">8.5</t>
  </si>
  <si>
    <t xml:space="preserve">RUFO EXTERNO/INTERNO EM CHAPA DE AÇO GALVANIZADO NÚMERO 26, CORTE DE 33 CM, INCLUSO IÇAMENTO</t>
  </si>
  <si>
    <t xml:space="preserve">8.6</t>
  </si>
  <si>
    <t xml:space="preserve">TELHAMENTO COM TELHA ONDULADA DE FIBROCIMENTO E = 6 MM, COM RECOBRIMENTO LATERAL DE 1/4 DE ONDA PARA TELHADO COM INCLINAÇÃO MAIOR QUE 10°, C OM ATÉ 2 ÁGUAS, INCLUSO IÇAMENTO</t>
  </si>
  <si>
    <t xml:space="preserve">8.7</t>
  </si>
  <si>
    <t xml:space="preserve">CUMEEIRA PARA TELHA DE FIBROCIMENTO ONDULADA E = 6 MM, INCLUSO ACESSÓRIOS DE FIXAÇÃO E IÇAMENTO</t>
  </si>
  <si>
    <t xml:space="preserve">9.0 PISO</t>
  </si>
  <si>
    <t xml:space="preserve">9.1</t>
  </si>
  <si>
    <t xml:space="preserve">LASTRO COM MATERIAL GRANULAR, APLICADO EM PISOS OU LAJES SOBRE SOLO, ESPESSURA DE *5 CM*</t>
  </si>
  <si>
    <t xml:space="preserve">9.2</t>
  </si>
  <si>
    <t xml:space="preserve">CONTRAPISO EM ARGAMASSA TRAÇO 1:4 (CIMENTO E AREIA), PREPARO MECÂNICO COM BETONEIRA 400 L, ESPE SSURA 5CM.</t>
  </si>
  <si>
    <t xml:space="preserve">9.4</t>
  </si>
  <si>
    <t xml:space="preserve">REVESTIMENTO CERÂMICO PARA PISO COM PLACAS TIPO ESMALTADA EXTRA DE DIMENSÕES 45X45 CM APLICADA EM AMBIENTES DE ÁREA MAIOR QUE 10 M2</t>
  </si>
  <si>
    <t xml:space="preserve">10.0 REVESTIMENTOS</t>
  </si>
  <si>
    <t xml:space="preserve">10.1 ESTRUTURAS</t>
  </si>
  <si>
    <t xml:space="preserve">10.1.1</t>
  </si>
  <si>
    <t xml:space="preserve">CHAPISCO APLICADO EM ALVENARIAS E ESTRUTURAS DE CONCRETO INTERNAS, COM COLHER DE PEDREIRO. ARGAMASSA TRAÇO 1:3 COM PREPARO EM BETONEIRA 400 L.</t>
  </si>
  <si>
    <t xml:space="preserve">10.1.2</t>
  </si>
  <si>
    <t xml:space="preserve">MASSA ÚNICA, PARA RECEBIMENTO DE PINTURA, EM ARGAMASSA TRAÇO 1:2:8, PREPARO MECÂNICO COM BETONEIRA 400L, APLICADA MANUALMENTE EM FACES INTER NAS DE PAREDES, ESPESSURA DE 20MM, COM EXECUÇÃO DE TALISCAS</t>
  </si>
  <si>
    <t xml:space="preserve">10.1.3</t>
  </si>
  <si>
    <t xml:space="preserve">REVESTIMENTO CERÂMICO PARA PAREDES INTERNAS COM PLACAS TIPO ESMALTADA EXTRA DE DIMENSÕES 33X45 CM APLICADAS EM AMBIENTES DE ÁREA MAIOR QUE 5 M² NA ALTURA INTEIRA DAS PAREDES. </t>
  </si>
  <si>
    <t xml:space="preserve">Pesquisa de preço</t>
  </si>
  <si>
    <t xml:space="preserve">10.1.4</t>
  </si>
  <si>
    <t xml:space="preserve">MASSA FINA APLICADA EM ALVENARIAS COM DESEMPENADEIRA, ARGAMASSA INDUSTRIALIZADA</t>
  </si>
  <si>
    <t xml:space="preserve">10.2 TETO</t>
  </si>
  <si>
    <t xml:space="preserve">10.2.1</t>
  </si>
  <si>
    <t xml:space="preserve">CHAPISCO APLICADO NO TETO, COM ROLO PARA TEXTURA ACRÍLICA. ARGAMASSA INDUSTRIALIZADA COM PREPARO MANUAL.</t>
  </si>
  <si>
    <t xml:space="preserve">10.2.2</t>
  </si>
  <si>
    <t xml:space="preserve">MASSA ÚNICA, PARA RECEBIMENTO DE PINTURA, EM ARGAMASSA TRAÇO 1:2:8, PREPARO MECÂNICO COM BETONEIRA 400L, APLICADA MANUALMENTE EM TETO, ESPES SURA DE 10MM, COM EXECUÇÃO DE TALISCAS.</t>
  </si>
  <si>
    <t xml:space="preserve">10.2.3</t>
  </si>
  <si>
    <t xml:space="preserve">MASSA FINA, APLICADA MANUALMENTE NO TETO, ESPESSURA DE 2MM</t>
  </si>
  <si>
    <t xml:space="preserve">10.3 PLATIBANDA</t>
  </si>
  <si>
    <t xml:space="preserve">10.3.1</t>
  </si>
  <si>
    <t xml:space="preserve">10.3.2</t>
  </si>
  <si>
    <t xml:space="preserve">10.3.3</t>
  </si>
  <si>
    <t xml:space="preserve">MASSA FINA, APLICADA MANUALMENTE EM FACES DE PAREDES, ESPESSURA DE 2MM</t>
  </si>
  <si>
    <t xml:space="preserve">11.0 ESQUADRIAS</t>
  </si>
  <si>
    <t xml:space="preserve">11.1</t>
  </si>
  <si>
    <t xml:space="preserve">PORTA DE FERRO, DE ABRIR, COM CHAPA, COM GUARNIÇÕES</t>
  </si>
  <si>
    <t xml:space="preserve">11.2</t>
  </si>
  <si>
    <t xml:space="preserve">DOBRADIÇA EM AÇO/FERRO, 3" X 21/2", E=1,9 A 2MM, SEN ANEL, CROMADO OU ZINCADO, TAMPA BOLA, COM PARAFUSOS</t>
  </si>
  <si>
    <t xml:space="preserve">11.3</t>
  </si>
  <si>
    <t xml:space="preserve">FECHADURA DE EMBUTIR PARA PORTA DE BANHEIRO, COMPLETA, ACABAMENTO PADRÃO MÉDIO, INCLUSO EXECUÇÃO DE FURO - FORNECIMENTO E INSTALAÇÃO</t>
  </si>
  <si>
    <t xml:space="preserve">11.4</t>
  </si>
  <si>
    <t xml:space="preserve">JANELA DE AÇO TIPO BASCULANTE PARA VIDROS, COM BATENTE, FERRAGENS E PINTURA ANTICORROSIVA. EXCLUSIVE VIDROS, ACABAMENTO, ALIZAR E CONTRAMARC O. FORNECIMENTO E INSTALAÇÃO.</t>
  </si>
  <si>
    <t xml:space="preserve">11.5</t>
  </si>
  <si>
    <t xml:space="preserve">INSTALAÇÃO DE VIDRO LISO INCOLOR, E = 3 MM</t>
  </si>
  <si>
    <t xml:space="preserve">11.6</t>
  </si>
  <si>
    <t xml:space="preserve">SOLEIRA EM GRANITO, LARGURA 15 CM, ESPESSURA 2,0 CM</t>
  </si>
  <si>
    <t xml:space="preserve">12.0 PINTURA</t>
  </si>
  <si>
    <t xml:space="preserve">12.1</t>
  </si>
  <si>
    <t xml:space="preserve">COLOCAÇÃO DE FITA PROTETORA PARA PINTURA</t>
  </si>
  <si>
    <t xml:space="preserve">12.2</t>
  </si>
  <si>
    <t xml:space="preserve">APLICAÇÃO DE FUNDO SELADOR ACRÍLICO EM PAREDES, UMA DEMÃO</t>
  </si>
  <si>
    <t xml:space="preserve">12.3</t>
  </si>
  <si>
    <t xml:space="preserve">APLICAÇÃO MANUAL DE PINTURA COM TINTA LÁTEX ACRÍLICA EM PAREDES, DUAS DEMÃOS</t>
  </si>
  <si>
    <t xml:space="preserve">12.4</t>
  </si>
  <si>
    <t xml:space="preserve">APLICAÇÃO DE FUNDO SELADOR ACRÍLICO EM TETO, UMA DEMÃO.</t>
  </si>
  <si>
    <t xml:space="preserve">12.5</t>
  </si>
  <si>
    <t xml:space="preserve">APLICAÇÃO MANUAL DE PINTURA COM TINTA LÁTEX ACRÍLICA EM TETO, DUAS DEMÃOS.</t>
  </si>
  <si>
    <t xml:space="preserve">12.6</t>
  </si>
  <si>
    <t xml:space="preserve">PINTURA COM TINTA ACRÍLICA DE ACABAMENTO PULVERIZADA SOBRE SUPERFÍCIES METÁLICAS (EXCETO PERFIL) EXECUTADO EM OBRA (POR DEMÃO).</t>
  </si>
  <si>
    <t xml:space="preserve">13. EQUIPAMENTOS BANHEIROS</t>
  </si>
  <si>
    <t xml:space="preserve">13.1</t>
  </si>
  <si>
    <t xml:space="preserve">VASO SANITARIO SIFONADO CONVENCIONAL PARA PCD SEM FURO FRONTAL COM LOUÇA BRANCA SEM ASSENTO - FORNECIMENTO E INSTALAÇÃO.</t>
  </si>
  <si>
    <t xml:space="preserve">13.2</t>
  </si>
  <si>
    <t xml:space="preserve">VASO SANITÁRIO SIFONADO COM CAIXA ACOPLADA, LOUÇA BRANCA - PADRÃO ALTO - FORNECIMENTO E INSTALAÇÃO</t>
  </si>
  <si>
    <t xml:space="preserve">13.3</t>
  </si>
  <si>
    <t xml:space="preserve">ENGATE FLEXÍVEL EM PLÁSTICO BRANCO, 1/2 X 40CM - FORNECIMENTO E INSTALAÇÃO</t>
  </si>
  <si>
    <t xml:space="preserve">13.4</t>
  </si>
  <si>
    <t xml:space="preserve">ASSENTO SANITÁRIO CONVENCIONAL - FORNECIMENTO E INSTALACAO</t>
  </si>
  <si>
    <t xml:space="preserve">13.5</t>
  </si>
  <si>
    <t xml:space="preserve">PAPELEIRA DE PAREDE EM METAL CROMADO SEM TAMPA, INCLUSO FIXAÇÃO</t>
  </si>
  <si>
    <t xml:space="preserve">13.6</t>
  </si>
  <si>
    <t xml:space="preserve">SABONETEIRA PLASTICA TIPO DISPENSER PARA SABONETE LIQUIDO COM RESERVATORIO 800 A 1500 ML, INCLUSO FIXAÇÃO.</t>
  </si>
  <si>
    <t xml:space="preserve">I 37400</t>
  </si>
  <si>
    <t xml:space="preserve">13.7</t>
  </si>
  <si>
    <t xml:space="preserve">PAPELEIRA PLASTICA TIPO DISPENSER PARA PAPEL HIGIENICO ROLAO</t>
  </si>
  <si>
    <t xml:space="preserve">13.8</t>
  </si>
  <si>
    <t xml:space="preserve">BARRA DE APOIO RETA, EM ACO INOX POLIDO, COMPRIMENTO 80 CM, FIXADA NA PAREDE - FORNECIMENTO E INSTALAÇÃO.</t>
  </si>
  <si>
    <t xml:space="preserve">13.9</t>
  </si>
  <si>
    <t xml:space="preserve">LAVATÓRIO LOUÇA BRANCA SUSPENSO, 29,5 X 39CM OU EQUIVALENTE, PADRÃO POPULAR, INCLUSO SIFÃO FLEXÍVEL EM PVC, VÁLVULA E ENGATE FLEXÍVEL 30CM E M PLÁSTICO E TORNEIRA CROMADA DE MESA, PADRÃO POPULAR - FORNECIMENTO E INSTALAÇÃO</t>
  </si>
  <si>
    <t xml:space="preserve">I 11795</t>
  </si>
  <si>
    <t xml:space="preserve">13.10</t>
  </si>
  <si>
    <t xml:space="preserve">GRANITO PARA BANCADA, POLIDO, TIPO ANDORINHA/ QUARTZ/ CASTELO/ CORUMBA OU OUTROS EQUIVALENTES DA REGIAO, E= *2,5* CM</t>
  </si>
  <si>
    <t xml:space="preserve">13.11</t>
  </si>
  <si>
    <t xml:space="preserve">CUBA DE EMBUTIR OVAL EM LOUÇA BRANCA, 35 X 50CM OU EQUIVALENTE, INCLUSO VÁLVULA EM METAL CROMADO E SIFÃO FLEXÍVEL EM PVC - FORNECIMENTO E IN STALAÇÃO</t>
  </si>
  <si>
    <t xml:space="preserve">13.12</t>
  </si>
  <si>
    <t xml:space="preserve">TORNEIRA CROMADA DE MESA, 1/2 OU 3/4, PARA LAVATÓRIO, PADRÃO MÉDIO - FORNECIMENTO E INSTALAÇÃO.</t>
  </si>
  <si>
    <t xml:space="preserve">I 37591</t>
  </si>
  <si>
    <t xml:space="preserve">13.13</t>
  </si>
  <si>
    <t xml:space="preserve">SUPORTE MAO-FRANCESA EM ACO, ABAS IGUAIS 40 CM, CAPACIDADE MINIMA 70 KG BRANCO</t>
  </si>
  <si>
    <t xml:space="preserve">I 38633</t>
  </si>
  <si>
    <t xml:space="preserve">13.14</t>
  </si>
  <si>
    <t xml:space="preserve">FURO PARA TORNEIRA OU OUTROS ACESSORIOS EM BANCADA DE MARMORE/ GRANITO OU OUTRO TIPO DE PEDRA NATURAL</t>
  </si>
  <si>
    <t xml:space="preserve">13.15</t>
  </si>
  <si>
    <t xml:space="preserve">MICTORIO COLETIVO ACO INOX (AISI 304), E = 0,8 MM, DE *100 X 40 X 30* CM (C X A X P)</t>
  </si>
  <si>
    <t xml:space="preserve">14.0 INSTALAÇÕES HIDROSSANITÁRIAS</t>
  </si>
  <si>
    <t xml:space="preserve">14.1</t>
  </si>
  <si>
    <t xml:space="preserve">(COMPOSIÇÃO REPRESENTATIVA) DO SERVIÇO DE INSTALAÇÃO DE TUBO DE PVC, SÉRIE NORMAL, ESGOTO PREDIAL, DN 50 MM (INSTALADO EM RAMAL DE DESCARGA OU RAMAL DE ESGOTO SANITÁRIO), INCLUSIVE CONEXÕES, CORTES E FIXAÇÕES</t>
  </si>
  <si>
    <t xml:space="preserve">14.2</t>
  </si>
  <si>
    <t xml:space="preserve">(COMPOSIÇÃO REPRESENTATIVA) DO SERVIÇO DE INST. TUBO PVC, SÉRIE N, ESGOTO PREDIAL, 100 MM (INST. RAMAL DESCARGA, RAMAL DE ESG. SANIT., PRUMA DA ESG. SANIT., VENTILAÇÃO OU SUB-COLETOR AÉREO), INCL. CONEXÕES E COR TES, FIXAÇÕES,</t>
  </si>
  <si>
    <t xml:space="preserve">14.3</t>
  </si>
  <si>
    <t xml:space="preserve">(COMPOSIÇÃO REPRESENTATIVA) DO SERVIÇO DE INST. TUBO PVC, SÉRIE N, ESGOTO PREDIAL, 150 MM (INST. RAMAL DESCARGA, RAMAL DE ESG. SANIT., PRUMA DA ESG. SANIT., VENTILAÇÃO OU SUB-COLETOR AÉREO), INCL. CONEXÕES E COR TES, FIXAÇÕES,</t>
  </si>
  <si>
    <t xml:space="preserve">14.4</t>
  </si>
  <si>
    <t xml:space="preserve">ESCAVAÇÃO MANUAL DE VALA COM PROFUNDIDADE MENOR OU IGUAL A 1,30 M</t>
  </si>
  <si>
    <t xml:space="preserve">14.5</t>
  </si>
  <si>
    <t xml:space="preserve">14.6</t>
  </si>
  <si>
    <t xml:space="preserve">CAIXA SIFONADA, PVC, DN 100 X 100 X 50 MM, JUNTA ELÁSTICA, FORNECIDA E INSTALADA EM RAMAL DE DESCARGA OU EM RAMAL DE ESGOTO SANITÁRIO</t>
  </si>
  <si>
    <t xml:space="preserve">14.7</t>
  </si>
  <si>
    <t xml:space="preserve">CAIXA ENTERRADA HIDRÁULICA RETANGULAR EM ALVENARIA COM TIJOLOS CERÂMICOS MACIÇOS, DIMENSÕES INTERNAS: 0,6X0,6X0,6 M PARA REDE DE ESGOTO.</t>
  </si>
  <si>
    <t xml:space="preserve">14.8</t>
  </si>
  <si>
    <t xml:space="preserve">TANQUE SÉPTICO CIRCULAR, EM CONCRETO PRÉ-MOLDADO, DIÂMETRO INTERNO = 1,40 M, ALTURA INTERNA = 2,50 M, VOLUME ÚTIL: 3463,6 L</t>
  </si>
  <si>
    <t xml:space="preserve">14.9</t>
  </si>
  <si>
    <t xml:space="preserve">FILTRO ANAERÓBIO CIRCULAR, EM CONCRETO PRÉ-MOLDADO, DIÂMETRO INTERNO =1,88 M, ALTURA INTERNA = 1,50 M, VOLUME ÚTIL: 3331,1 L</t>
  </si>
  <si>
    <t xml:space="preserve">14.10</t>
  </si>
  <si>
    <t xml:space="preserve">SUMIDOURO CIRCULAR, EM CONCRETO PRÉ-MOLDADO, DIÂMETRO INTERNO = 2,88 M , ALTURA INTERNA = 3,0 M, ÁREA DE INFILTRAÇÃO: 31,4 M² </t>
  </si>
  <si>
    <t xml:space="preserve">14.11</t>
  </si>
  <si>
    <t xml:space="preserve">TORNEIRA DE BOIA PARA CAIXA D'ÁGUA, ROSCÁVEL, 1 1/4" - FORNECIMENTO E INSTALAÇÃO</t>
  </si>
  <si>
    <t xml:space="preserve">14.12</t>
  </si>
  <si>
    <t xml:space="preserve">RASGO EM ALVENARIA PARA RAMAIS/ DISTRIBUIÇÃO COM DIAMETROS MENORES OU IGUAIS A 40 MM.</t>
  </si>
  <si>
    <t xml:space="preserve">14.13</t>
  </si>
  <si>
    <t xml:space="preserve">(COMPOSIÇÃO REPRESENTATIVA) DO SERVIÇO DE INSTALAÇÃO TUBOS DE PVC, SOLDÁVEL, ÁGUA FRIA, DN 32 MM (INSTALADO EM RAMAL, SUB-RAMAL, RAMAL DE DISTRIBUIÇÃO OU PRUMADA), INCLUSIVE CONEXÕES, CORTES E FIXAÇÕES (EXTRAVASOR E LIMPEZA)</t>
  </si>
  <si>
    <t xml:space="preserve">14.14</t>
  </si>
  <si>
    <t xml:space="preserve">(COMPOSIÇÃO REPRESENTATIVA) DO SERVIÇO DE INSTALAÇÃO DE TUBOS DE PVC, SOLDÁVEL, ÁGUA FRIA, DN 25 MM (INSTALADO EM RAMAL, SUB-RAMAL, RAMAL DE DISTRIBUIÇÃO OU PRUMADA), INCLUSIVE CONEXÕES, CORTES E FIXAÇÕES,</t>
  </si>
  <si>
    <t xml:space="preserve">14.15</t>
  </si>
  <si>
    <t xml:space="preserve">REGISTRO DE ESFERA, PVC, SOLDÁVEL, COM VOLANTE, DN 32 MM - FORNECIMENTO E INSTALAÇÃO</t>
  </si>
  <si>
    <t xml:space="preserve">14.16</t>
  </si>
  <si>
    <t xml:space="preserve">REGISTRO DE PRESSÃO, PVC, SOLDÁVEL, VOLANTE SIMPLES, DN 25 MM - FORNECIMENTO E INSTALAÇÃO</t>
  </si>
  <si>
    <t xml:space="preserve">14.17</t>
  </si>
  <si>
    <t xml:space="preserve">REGISTRO DE GAVETA BRUTO, LATÃO, ROSCÁVEL, 1 1/4" - FORNECIMENTO E INSTALAÇÃO</t>
  </si>
  <si>
    <t xml:space="preserve">15.0 INSTALAÇÕES ELÉTRICAS</t>
  </si>
  <si>
    <t xml:space="preserve">15.1</t>
  </si>
  <si>
    <t xml:space="preserve">CAIXA OCTOGONAL 3" X 3", PVC, INSTALADA EM LAJE - FORNECIMENTO E INSTALAÇÃO</t>
  </si>
  <si>
    <t xml:space="preserve">unid</t>
  </si>
  <si>
    <t xml:space="preserve">15.2</t>
  </si>
  <si>
    <t xml:space="preserve">CAIXA DE INSPEÇÃO PARA ATERRAMENTO, CIRCULAR, EM POLIETILENO, DIÂMETRO INTERNO = 0,3 M</t>
  </si>
  <si>
    <t xml:space="preserve">15.3</t>
  </si>
  <si>
    <t xml:space="preserve">QUADRO DE DISTRIBUIÇÃO DE ENERGIA EM PVC, DE EMBUTIR, SEM BARRAMENTO, PARA 3 DISJUNTORES - FORNECIMENTO E INSTALAÇÃO</t>
  </si>
  <si>
    <t xml:space="preserve">91940</t>
  </si>
  <si>
    <t xml:space="preserve">15.4</t>
  </si>
  <si>
    <t xml:space="preserve">CAIXA RETANGULAR 4" X 2" MEDIA (1,30 M DO PISO), PVC, INSTALADA EM PAREDE - FORNECIMENTO E INSTALAÇÃO</t>
  </si>
  <si>
    <t xml:space="preserve">91939</t>
  </si>
  <si>
    <t xml:space="preserve">15.5</t>
  </si>
  <si>
    <t xml:space="preserve">CAIXA RETANGULAR 4" X 2" ALTA (2,00 M DO PISO), PVC, INSTALADA EM PAREDE - FORNECIMENTO E INSTALAÇÃO</t>
  </si>
  <si>
    <t xml:space="preserve">93054</t>
  </si>
  <si>
    <t xml:space="preserve">15.6</t>
  </si>
  <si>
    <t xml:space="preserve">CONECTOR EM BRONZE/LATÃO, DN 22 MM X 3/4” SEM ANEL DE SOLDA X ROSCA F, INSTALADO EM PRUMADA FORNECIMENTO E INSTALAÇAO (P/ATERRAMENTO TERRA)</t>
  </si>
  <si>
    <t xml:space="preserve">93655</t>
  </si>
  <si>
    <t xml:space="preserve">15.7</t>
  </si>
  <si>
    <t xml:space="preserve">DISJUNTOR MONOPOLAR TIPO DIN/IEC.  20 A - FORNECIMENTO E INSTALAÇÃO</t>
  </si>
  <si>
    <t xml:space="preserve">93657</t>
  </si>
  <si>
    <t xml:space="preserve">15.8</t>
  </si>
  <si>
    <t xml:space="preserve">DISJUNTOR MONOPOLAR TIPO DIN/IEC. 32 A - FORNECIMENTO E INSTALAÇÃO</t>
  </si>
  <si>
    <t xml:space="preserve">91842</t>
  </si>
  <si>
    <t xml:space="preserve">15.9</t>
  </si>
  <si>
    <t xml:space="preserve">ELETRODUTO FLEXÍVEL CORRUGADO, PVC, DN 20 MM (1/2"), PARA CIRCUITOS TERMINAIS, INSTALADO EM LAJE - FORNECIMENTO E INSTALAÇÃO</t>
  </si>
  <si>
    <t xml:space="preserve">91844</t>
  </si>
  <si>
    <t xml:space="preserve">15.10</t>
  </si>
  <si>
    <t xml:space="preserve">ELETRODUTO FLEXÍVEL CORRUGADO, PVC, DN 25 MM (3/4"), PARA CIRCUITOS TERMINAIS, INSTALADO EM LAJE - FORNECIMENTO E INSTALAÇÃO</t>
  </si>
  <si>
    <t xml:space="preserve">90447</t>
  </si>
  <si>
    <t xml:space="preserve">15.11</t>
  </si>
  <si>
    <t xml:space="preserve">RASGO EM ALVENARIA PARA ELETRODUTOS COM DIAMETROS MENORES OU IGUAIS A 40 MM</t>
  </si>
  <si>
    <t xml:space="preserve">90456</t>
  </si>
  <si>
    <t xml:space="preserve">15.12</t>
  </si>
  <si>
    <t xml:space="preserve">QUEBRA EM ALVENARIA PARA INSTALAÇÃO DE CAIXA DE TOMADA (4X4 OU 4X2).</t>
  </si>
  <si>
    <t xml:space="preserve">91926</t>
  </si>
  <si>
    <t xml:space="preserve">15.13</t>
  </si>
  <si>
    <t xml:space="preserve">CABO DE COBRE FLEXÍVEL ISOLADO, 2,5 MM², ANTI-CHAMA 450/750 V, PARA CIRCUITOS TERMINAIS (cores preta, azul e verde) - FORNECIMENTO E INSTALAÇÃO</t>
  </si>
  <si>
    <t xml:space="preserve">91925</t>
  </si>
  <si>
    <t xml:space="preserve">15.14</t>
  </si>
  <si>
    <t xml:space="preserve">CABO DE COBRE FLEXÍVEL ISOLADO, 1,5 MM², ANTI-CHAMA 450/750 V, PARA CIRCUITOS TERMINAIS (cores preta, branco, azul e verde) - FORNECIMENTO E INSTALAÇÃO</t>
  </si>
  <si>
    <t xml:space="preserve">96985</t>
  </si>
  <si>
    <t xml:space="preserve">15.15</t>
  </si>
  <si>
    <t xml:space="preserve">HASTE DE ATERRAMENTO 5/8 - FORNECIMENTO E INSTALAÇÃO.</t>
  </si>
  <si>
    <t xml:space="preserve">91952</t>
  </si>
  <si>
    <t xml:space="preserve">15.16</t>
  </si>
  <si>
    <t xml:space="preserve">INTERRUPTOR SIMPLES (1 MÓDULO), 10A/250V, INCLUINDO SUPORTE E PLACA - FORNECIMENTO E INSTALAÇÃO.</t>
  </si>
  <si>
    <t xml:space="preserve">91993</t>
  </si>
  <si>
    <t xml:space="preserve">15.17</t>
  </si>
  <si>
    <t xml:space="preserve">TOMADA ALTA DE EMBUTIR (1 MÓDULO), 2P+T    20 A/250V, INCLUINDO SUPORTE E PLACA - FORNECIMENTO E INSTALAÇÃO.</t>
  </si>
  <si>
    <t xml:space="preserve">15.18</t>
  </si>
  <si>
    <t xml:space="preserve">LUMINÁRIA TIPO PAINEL LED, DE SOBREPOR  18 W/220 V, 5000 K- FORNECIMENTO E INSTALAÇÃO</t>
  </si>
  <si>
    <t xml:space="preserve">15.19</t>
  </si>
  <si>
    <t xml:space="preserve">CHUVEIRO ELÉTRICO COMUM CORPO PLÁSTICO, TIPO DUCHA FORNECIMENTO E INSTALAÇÃO</t>
  </si>
  <si>
    <t xml:space="preserve">16.0 SERVIÇOS FINAIS</t>
  </si>
  <si>
    <t xml:space="preserve">16.1</t>
  </si>
  <si>
    <t xml:space="preserve">REMOÇÃO DE TAPUME/ CHAPAS METÁLICAS E DE MADEIRA, DE FORMA MANUAL, SEM REAPROVEITAMENTO</t>
  </si>
  <si>
    <t xml:space="preserve">16.2</t>
  </si>
  <si>
    <t xml:space="preserve">LIMPEZA DE SUPERFÍCIE COM JATO DE ALTA PRESSÃO</t>
  </si>
  <si>
    <t xml:space="preserve">16.3</t>
  </si>
  <si>
    <t xml:space="preserve">CARGA MANUAL DE ENTULHO EM CAÇAMBA DE 5M³</t>
  </si>
  <si>
    <t xml:space="preserve">TOTAL FINAL </t>
  </si>
  <si>
    <t xml:space="preserve">Material</t>
  </si>
  <si>
    <t xml:space="preserve">Mão de Obra</t>
  </si>
  <si>
    <t xml:space="preserve">Três Passos, 25 de Abril de 2022</t>
  </si>
  <si>
    <t xml:space="preserve">_____________________________________</t>
  </si>
  <si>
    <t xml:space="preserve"> Eng. Civil Camila Mertz Sousa </t>
  </si>
  <si>
    <t xml:space="preserve"> Eng. Eletricista Ronaldo Funchal</t>
  </si>
  <si>
    <t xml:space="preserve">CREA 231477</t>
  </si>
  <si>
    <t xml:space="preserve">CREA 46.943 D</t>
  </si>
  <si>
    <t xml:space="preserve">CRONOGRAMA FÍSICO/FINANCEIRO  BANHEIROS  – PARQUE DE EXPOSIÇÕES DA FEICAP</t>
  </si>
  <si>
    <r>
      <rPr>
        <sz val="10"/>
        <rFont val="Times New Roman"/>
        <family val="1"/>
        <charset val="1"/>
      </rPr>
      <t xml:space="preserve">EMPREENDIMENTO:</t>
    </r>
    <r>
      <rPr>
        <b val="true"/>
        <sz val="10"/>
        <rFont val="Times New Roman"/>
        <family val="1"/>
        <charset val="1"/>
      </rPr>
      <t xml:space="preserve"> CONSTRUÇÃO DOS BANHEIROS – PARQUE DE EXPOSIÇÕES DA FEICAP</t>
    </r>
  </si>
  <si>
    <t xml:space="preserve">ENDEREÇO: AV. COSTA E SILVA, 2411 – PARQUE DE EXPOSIÇÕES DA FEICAP</t>
  </si>
  <si>
    <t xml:space="preserve">CRONOGRAMA DE DESEMBOLSO</t>
  </si>
  <si>
    <t xml:space="preserve">Projetos / Mês</t>
  </si>
  <si>
    <t xml:space="preserve">%</t>
  </si>
  <si>
    <t xml:space="preserve">Total / Serviços</t>
  </si>
  <si>
    <t xml:space="preserve">1º mês</t>
  </si>
  <si>
    <t xml:space="preserve">2º mês</t>
  </si>
  <si>
    <t xml:space="preserve">3º mês</t>
  </si>
  <si>
    <t xml:space="preserve">TOTAL CONSTRUÇÃO</t>
  </si>
  <si>
    <t xml:space="preserve">TOTAL ACUMULADO 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</si>
</sst>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0%"/>
    <numFmt numFmtId="166" formatCode="* #,##0.00\ ;* \(#,##0.00\);* \-#\ ;@\ "/>
    <numFmt numFmtId="167" formatCode="0.00"/>
    <numFmt numFmtId="168" formatCode="[$R$-416]\ #,##0.00;[RED]\-[$R$-416]\ #,##0.00"/>
    <numFmt numFmtId="169" formatCode="#,##0.00"/>
    <numFmt numFmtId="170" formatCode="@"/>
    <numFmt numFmtId="171" formatCode="General"/>
    <numFmt numFmtId="172" formatCode="0.00%"/>
    <numFmt numFmtId="173" formatCode="* #,##0.00\ ;\-* #,##0.00\ ;* \-#\ ;@\ 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 val="single"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Calibri"/>
      <family val="2"/>
      <charset val="1"/>
    </font>
    <font>
      <b val="true"/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 val="true"/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9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 val="true"/>
      <sz val="9"/>
      <color rgb="FF000000"/>
      <name val="Times New Roman"/>
      <family val="1"/>
      <charset val="1"/>
    </font>
    <font>
      <b val="true"/>
      <sz val="9"/>
      <name val="Times New Roman"/>
      <family val="1"/>
      <charset val="1"/>
    </font>
  </fonts>
  <fills count="16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DE8CB"/>
      </patternFill>
    </fill>
    <fill>
      <patternFill patternType="solid">
        <fgColor rgb="FFFFCCCC"/>
        <bgColor rgb="FFFFD8CE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DDE8CB"/>
      </patternFill>
    </fill>
    <fill>
      <patternFill patternType="solid">
        <fgColor rgb="FFFFFFCC"/>
        <bgColor rgb="FFFFFFFF"/>
      </patternFill>
    </fill>
    <fill>
      <patternFill patternType="solid">
        <fgColor rgb="FF34CBB6"/>
        <bgColor rgb="FF66CCFF"/>
      </patternFill>
    </fill>
    <fill>
      <patternFill patternType="solid">
        <fgColor rgb="FF66CCFF"/>
        <bgColor rgb="FF34CBB6"/>
      </patternFill>
    </fill>
    <fill>
      <patternFill patternType="solid">
        <fgColor rgb="FFFFDBB6"/>
        <bgColor rgb="FFFFD8CE"/>
      </patternFill>
    </fill>
    <fill>
      <patternFill patternType="solid">
        <fgColor rgb="FFC4E9FB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rgb="FFFFD8CE"/>
        <bgColor rgb="FFFFDBB6"/>
      </patternFill>
    </fill>
    <fill>
      <patternFill patternType="solid">
        <fgColor rgb="FFDDE8CB"/>
        <bgColor rgb="FFDDDDDD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/>
      <bottom style="thin"/>
      <diagonal/>
    </border>
  </borders>
  <cellStyleXfs count="4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3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2" xfId="3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3" xfId="3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2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2" xfId="3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2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2" xfId="3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11" borderId="2" xfId="3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11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11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2" xfId="3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1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2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3" xfId="3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2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0" fillId="1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3" xfId="3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2" xfId="3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3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3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1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5" fillId="1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21" fillId="1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1" fillId="0" borderId="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1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1" fillId="13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21" fillId="0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21" fillId="0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1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21" fillId="15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1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2" fillId="1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1" fillId="15" borderId="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</cellXfs>
  <cellStyles count="2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4" xfId="20"/>
    <cellStyle name="Accent 13" xfId="21"/>
    <cellStyle name="Accent 2 15" xfId="22"/>
    <cellStyle name="Accent 3 16" xfId="23"/>
    <cellStyle name="Bad 10" xfId="24"/>
    <cellStyle name="Error 12" xfId="25"/>
    <cellStyle name="Footnote 5" xfId="26"/>
    <cellStyle name="Good 8" xfId="27"/>
    <cellStyle name="Heading 1 1" xfId="28"/>
    <cellStyle name="Heading 2 2" xfId="29"/>
    <cellStyle name="Hyperlink 6" xfId="30"/>
    <cellStyle name="Neutral 9" xfId="31"/>
    <cellStyle name="Normal 2" xfId="32"/>
    <cellStyle name="Note 4" xfId="33"/>
    <cellStyle name="Porcentagem 2" xfId="34"/>
    <cellStyle name="Separador de milhares 2" xfId="35"/>
    <cellStyle name="Status 7" xfId="36"/>
    <cellStyle name="Text 3" xfId="37"/>
    <cellStyle name="Vírgula 2" xfId="38"/>
    <cellStyle name="Warning 11" xfId="39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FFCCCC"/>
      <rgbColor rgb="FF808080"/>
      <rgbColor rgb="FF9999FF"/>
      <rgbColor rgb="FF993366"/>
      <rgbColor rgb="FFFFFFCC"/>
      <rgbColor rgb="FFC4E9FB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E8CB"/>
      <rgbColor rgb="FFCCFFCC"/>
      <rgbColor rgb="FFFFD8CE"/>
      <rgbColor rgb="FF66CCFF"/>
      <rgbColor rgb="FFFF99CC"/>
      <rgbColor rgb="FFCC99FF"/>
      <rgbColor rgb="FFFFDBB6"/>
      <rgbColor rgb="FF3366FF"/>
      <rgbColor rgb="FF34CBB6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2007000</xdr:colOff>
      <xdr:row>0</xdr:row>
      <xdr:rowOff>0</xdr:rowOff>
    </xdr:from>
    <xdr:to>
      <xdr:col>6</xdr:col>
      <xdr:colOff>599040</xdr:colOff>
      <xdr:row>3</xdr:row>
      <xdr:rowOff>150840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3224880" y="0"/>
          <a:ext cx="3591360" cy="676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177840</xdr:colOff>
      <xdr:row>0</xdr:row>
      <xdr:rowOff>0</xdr:rowOff>
    </xdr:from>
    <xdr:to>
      <xdr:col>6</xdr:col>
      <xdr:colOff>261360</xdr:colOff>
      <xdr:row>3</xdr:row>
      <xdr:rowOff>97200</xdr:rowOff>
    </xdr:to>
    <xdr:pic>
      <xdr:nvPicPr>
        <xdr:cNvPr id="1" name="Figura 2" descr=""/>
        <xdr:cNvPicPr/>
      </xdr:nvPicPr>
      <xdr:blipFill>
        <a:blip r:embed="rId1"/>
        <a:stretch/>
      </xdr:blipFill>
      <xdr:spPr>
        <a:xfrm>
          <a:off x="2752560" y="0"/>
          <a:ext cx="3228840" cy="6228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048576"/>
  <sheetViews>
    <sheetView showFormulas="false" showGridLines="true" showRowColHeaders="true" showZeros="true" rightToLeft="false" tabSelected="false" showOutlineSymbols="true" defaultGridColor="true" view="normal" topLeftCell="A172" colorId="64" zoomScale="100" zoomScaleNormal="100" zoomScalePageLayoutView="100" workbookViewId="0">
      <selection pane="topLeft" activeCell="J179" activeCellId="1" sqref="A1:J35 J179"/>
    </sheetView>
  </sheetViews>
  <sheetFormatPr defaultRowHeight="13.8" zeroHeight="false" outlineLevelRow="0" outlineLevelCol="0"/>
  <cols>
    <col collapsed="false" customWidth="true" hidden="false" outlineLevel="0" max="1" min="1" style="0" width="9.13"/>
    <col collapsed="false" customWidth="true" hidden="false" outlineLevel="0" max="2" min="2" style="0" width="8.14"/>
    <col collapsed="false" customWidth="true" hidden="false" outlineLevel="0" max="3" min="3" style="0" width="44.14"/>
    <col collapsed="false" customWidth="true" hidden="false" outlineLevel="0" max="4" min="4" style="0" width="5.42"/>
    <col collapsed="false" customWidth="true" hidden="false" outlineLevel="0" max="5" min="5" style="0" width="10.58"/>
    <col collapsed="false" customWidth="true" hidden="false" outlineLevel="0" max="6" min="6" style="0" width="10.71"/>
    <col collapsed="false" customWidth="true" hidden="false" outlineLevel="0" max="8" min="7" style="0" width="11.86"/>
    <col collapsed="false" customWidth="true" hidden="false" outlineLevel="0" max="9" min="9" style="0" width="11.71"/>
    <col collapsed="false" customWidth="true" hidden="false" outlineLevel="0" max="10" min="10" style="0" width="13.19"/>
    <col collapsed="false" customWidth="true" hidden="false" outlineLevel="0" max="11" min="11" style="0" width="22.57"/>
    <col collapsed="false" customWidth="true" hidden="false" outlineLevel="0" max="12" min="12" style="0" width="14.28"/>
    <col collapsed="false" customWidth="true" hidden="false" outlineLevel="0" max="13" min="13" style="0" width="47.43"/>
    <col collapsed="false" customWidth="true" hidden="false" outlineLevel="0" max="1025" min="14" style="0" width="8.71"/>
  </cols>
  <sheetData>
    <row r="1" customFormat="false" ht="13.8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</row>
    <row r="2" customFormat="false" ht="13.8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  <c r="O3" s="2"/>
    </row>
    <row r="4" customFormat="false" ht="13.8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  <c r="N4" s="2"/>
      <c r="O4" s="2"/>
    </row>
    <row r="5" customFormat="false" ht="13.8" hidden="false" customHeight="false" outlineLevel="0" collapsed="false">
      <c r="A5" s="3" t="s">
        <v>0</v>
      </c>
      <c r="B5" s="3"/>
      <c r="C5" s="3"/>
      <c r="D5" s="3"/>
      <c r="E5" s="3"/>
      <c r="F5" s="3"/>
      <c r="G5" s="3"/>
      <c r="H5" s="3"/>
      <c r="I5" s="3"/>
      <c r="J5" s="3"/>
      <c r="K5" s="2"/>
      <c r="L5" s="2"/>
      <c r="M5" s="2"/>
      <c r="N5" s="2"/>
      <c r="O5" s="2"/>
    </row>
    <row r="6" customFormat="false" ht="13.8" hidden="false" customHeight="false" outlineLevel="0" collapsed="false">
      <c r="A6" s="3" t="s">
        <v>1</v>
      </c>
      <c r="B6" s="3"/>
      <c r="C6" s="3"/>
      <c r="D6" s="3"/>
      <c r="E6" s="3"/>
      <c r="F6" s="3"/>
      <c r="G6" s="3"/>
      <c r="H6" s="3"/>
      <c r="I6" s="3"/>
      <c r="J6" s="3"/>
      <c r="K6" s="4"/>
      <c r="L6" s="2"/>
      <c r="M6" s="2"/>
      <c r="N6" s="2"/>
      <c r="O6" s="2"/>
    </row>
    <row r="7" customFormat="false" ht="13.8" hidden="false" customHeight="false" outlineLevel="0" collapsed="false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4"/>
      <c r="L7" s="2"/>
      <c r="M7" s="2"/>
      <c r="N7" s="2"/>
      <c r="O7" s="2"/>
    </row>
    <row r="8" customFormat="false" ht="13.8" hidden="false" customHeight="false" outlineLevel="0" collapsed="false">
      <c r="A8" s="6" t="s">
        <v>3</v>
      </c>
      <c r="B8" s="6"/>
      <c r="C8" s="6"/>
      <c r="D8" s="6"/>
      <c r="E8" s="6"/>
      <c r="F8" s="6"/>
      <c r="G8" s="6"/>
      <c r="H8" s="6"/>
      <c r="I8" s="6"/>
      <c r="J8" s="6"/>
      <c r="K8" s="4"/>
      <c r="L8" s="2"/>
      <c r="M8" s="2"/>
      <c r="N8" s="2"/>
      <c r="O8" s="2"/>
    </row>
    <row r="9" customFormat="false" ht="13.8" hidden="false" customHeight="false" outlineLevel="0" collapsed="false">
      <c r="A9" s="7" t="s">
        <v>4</v>
      </c>
      <c r="B9" s="7"/>
      <c r="C9" s="7"/>
      <c r="D9" s="7"/>
      <c r="E9" s="7"/>
      <c r="F9" s="7"/>
      <c r="G9" s="7"/>
      <c r="H9" s="7"/>
      <c r="I9" s="7"/>
      <c r="J9" s="7"/>
      <c r="K9" s="4"/>
      <c r="L9" s="2"/>
      <c r="M9" s="2"/>
      <c r="N9" s="2"/>
      <c r="O9" s="2"/>
    </row>
    <row r="10" customFormat="false" ht="13.8" hidden="false" customHeight="false" outlineLevel="0" collapsed="false">
      <c r="A10" s="7" t="s">
        <v>5</v>
      </c>
      <c r="B10" s="7"/>
      <c r="C10" s="7"/>
      <c r="D10" s="7"/>
      <c r="E10" s="7"/>
      <c r="F10" s="7"/>
      <c r="G10" s="7"/>
      <c r="H10" s="7"/>
      <c r="I10" s="7"/>
      <c r="J10" s="7"/>
      <c r="K10" s="4"/>
      <c r="L10" s="2"/>
      <c r="M10" s="2"/>
      <c r="N10" s="2"/>
      <c r="O10" s="2"/>
    </row>
    <row r="11" customFormat="false" ht="13.8" hidden="false" customHeight="false" outlineLevel="0" collapsed="false">
      <c r="A11" s="8" t="s">
        <v>6</v>
      </c>
      <c r="B11" s="8"/>
      <c r="C11" s="8"/>
      <c r="D11" s="8"/>
      <c r="E11" s="8"/>
      <c r="F11" s="8"/>
      <c r="G11" s="8"/>
      <c r="H11" s="8"/>
      <c r="I11" s="8"/>
      <c r="J11" s="8"/>
      <c r="K11" s="4"/>
      <c r="L11" s="2"/>
      <c r="M11" s="2"/>
      <c r="N11" s="2"/>
      <c r="O11" s="2"/>
    </row>
    <row r="12" customFormat="false" ht="13.8" hidden="false" customHeight="false" outlineLevel="0" collapsed="false">
      <c r="A12" s="8" t="s">
        <v>7</v>
      </c>
      <c r="B12" s="8"/>
      <c r="C12" s="8"/>
      <c r="D12" s="8"/>
      <c r="E12" s="8"/>
      <c r="F12" s="8"/>
      <c r="G12" s="8"/>
      <c r="H12" s="8"/>
      <c r="I12" s="8"/>
      <c r="J12" s="8"/>
      <c r="K12" s="4"/>
      <c r="L12" s="2"/>
      <c r="M12" s="2"/>
      <c r="N12" s="2"/>
      <c r="O12" s="2"/>
    </row>
    <row r="13" customFormat="false" ht="13.8" hidden="false" customHeight="false" outlineLevel="0" collapsed="false">
      <c r="A13" s="8" t="s">
        <v>8</v>
      </c>
      <c r="B13" s="8"/>
      <c r="C13" s="8"/>
      <c r="D13" s="8"/>
      <c r="E13" s="8"/>
      <c r="F13" s="8"/>
      <c r="G13" s="8"/>
      <c r="H13" s="8"/>
      <c r="I13" s="8"/>
      <c r="J13" s="8"/>
      <c r="K13" s="4"/>
      <c r="L13" s="2"/>
      <c r="M13" s="2"/>
      <c r="N13" s="2"/>
      <c r="O13" s="2"/>
    </row>
    <row r="14" customFormat="false" ht="35.05" hidden="false" customHeight="false" outlineLevel="0" collapsed="false">
      <c r="A14" s="9" t="s">
        <v>9</v>
      </c>
      <c r="B14" s="9" t="s">
        <v>10</v>
      </c>
      <c r="C14" s="9" t="s">
        <v>11</v>
      </c>
      <c r="D14" s="9" t="s">
        <v>12</v>
      </c>
      <c r="E14" s="9" t="s">
        <v>13</v>
      </c>
      <c r="F14" s="9" t="s">
        <v>14</v>
      </c>
      <c r="G14" s="9" t="s">
        <v>8</v>
      </c>
      <c r="H14" s="9" t="s">
        <v>15</v>
      </c>
      <c r="I14" s="9" t="s">
        <v>16</v>
      </c>
      <c r="J14" s="9" t="s">
        <v>17</v>
      </c>
      <c r="K14" s="4"/>
      <c r="L14" s="2"/>
      <c r="M14" s="2"/>
      <c r="N14" s="2"/>
      <c r="O14" s="2"/>
    </row>
    <row r="15" customFormat="false" ht="13.8" hidden="false" customHeight="false" outlineLevel="0" collapsed="false">
      <c r="A15" s="10" t="s">
        <v>18</v>
      </c>
      <c r="B15" s="10"/>
      <c r="C15" s="10"/>
      <c r="D15" s="10"/>
      <c r="E15" s="10"/>
      <c r="F15" s="10"/>
      <c r="G15" s="10"/>
      <c r="H15" s="10"/>
      <c r="I15" s="10"/>
      <c r="J15" s="10"/>
    </row>
    <row r="16" customFormat="false" ht="13.8" hidden="false" customHeight="false" outlineLevel="0" collapsed="false">
      <c r="A16" s="11" t="s">
        <v>19</v>
      </c>
      <c r="B16" s="11"/>
      <c r="C16" s="11"/>
      <c r="D16" s="11"/>
      <c r="E16" s="11"/>
      <c r="F16" s="11"/>
      <c r="G16" s="11"/>
      <c r="H16" s="11"/>
      <c r="I16" s="11"/>
      <c r="J16" s="11"/>
    </row>
    <row r="17" customFormat="false" ht="32.8" hidden="false" customHeight="false" outlineLevel="0" collapsed="false">
      <c r="A17" s="12" t="s">
        <v>20</v>
      </c>
      <c r="B17" s="13" t="s">
        <v>21</v>
      </c>
      <c r="C17" s="13" t="s">
        <v>22</v>
      </c>
      <c r="D17" s="14" t="s">
        <v>23</v>
      </c>
      <c r="E17" s="15" t="n">
        <f aca="false">2.4*1.2</f>
        <v>2.88</v>
      </c>
      <c r="F17" s="16" t="n">
        <v>225</v>
      </c>
      <c r="G17" s="16" t="n">
        <f aca="false">F17*1.25</f>
        <v>281.25</v>
      </c>
      <c r="H17" s="16" t="n">
        <f aca="false">J17*0.6</f>
        <v>486</v>
      </c>
      <c r="I17" s="16" t="n">
        <f aca="false">J17*0.4</f>
        <v>324</v>
      </c>
      <c r="J17" s="16" t="n">
        <f aca="false">ROUND(E17,2)*(ROUND(G17,2))</f>
        <v>810</v>
      </c>
    </row>
    <row r="18" customFormat="false" ht="35.05" hidden="false" customHeight="false" outlineLevel="0" collapsed="false">
      <c r="A18" s="17" t="n">
        <v>93584</v>
      </c>
      <c r="B18" s="18" t="s">
        <v>24</v>
      </c>
      <c r="C18" s="18" t="s">
        <v>25</v>
      </c>
      <c r="D18" s="19" t="s">
        <v>23</v>
      </c>
      <c r="E18" s="20" t="n">
        <v>6</v>
      </c>
      <c r="F18" s="16" t="n">
        <v>844.35</v>
      </c>
      <c r="G18" s="16" t="n">
        <f aca="false">F18*1.25</f>
        <v>1055.4375</v>
      </c>
      <c r="H18" s="16" t="n">
        <f aca="false">J18*0.6</f>
        <v>3799.584</v>
      </c>
      <c r="I18" s="16" t="n">
        <f aca="false">J18*0.4</f>
        <v>2533.056</v>
      </c>
      <c r="J18" s="16" t="n">
        <f aca="false">ROUND(E18,2)*(ROUND(G18,2))</f>
        <v>6332.64</v>
      </c>
      <c r="K18" s="21"/>
    </row>
    <row r="19" customFormat="false" ht="13.8" hidden="false" customHeight="false" outlineLevel="0" collapsed="false">
      <c r="A19" s="17" t="n">
        <v>98459</v>
      </c>
      <c r="B19" s="18" t="s">
        <v>26</v>
      </c>
      <c r="C19" s="18" t="s">
        <v>27</v>
      </c>
      <c r="D19" s="19" t="s">
        <v>23</v>
      </c>
      <c r="E19" s="20" t="n">
        <f aca="false">(10.8+10.65+10.8+10.65)*2</f>
        <v>85.8</v>
      </c>
      <c r="F19" s="16" t="n">
        <v>92.1</v>
      </c>
      <c r="G19" s="16" t="n">
        <f aca="false">F19*1.25</f>
        <v>115.125</v>
      </c>
      <c r="H19" s="16" t="n">
        <f aca="false">J19*0.6</f>
        <v>5926.8924</v>
      </c>
      <c r="I19" s="16" t="n">
        <f aca="false">J19*0.4</f>
        <v>3951.2616</v>
      </c>
      <c r="J19" s="16" t="n">
        <f aca="false">ROUND(E19,2)*(ROUND(G19,2))</f>
        <v>9878.154</v>
      </c>
      <c r="K19" s="21"/>
    </row>
    <row r="20" customFormat="false" ht="13.8" hidden="false" customHeight="false" outlineLevel="0" collapsed="false">
      <c r="A20" s="22"/>
      <c r="B20" s="22"/>
      <c r="C20" s="22"/>
      <c r="D20" s="22"/>
      <c r="E20" s="22"/>
      <c r="F20" s="22"/>
      <c r="G20" s="22"/>
      <c r="H20" s="22"/>
      <c r="I20" s="23" t="s">
        <v>28</v>
      </c>
      <c r="J20" s="24" t="n">
        <f aca="false">SUM(J17:J19)</f>
        <v>17020.794</v>
      </c>
      <c r="K20" s="21"/>
    </row>
    <row r="21" customFormat="false" ht="13.8" hidden="false" customHeight="false" outlineLevel="0" collapsed="false">
      <c r="A21" s="11" t="s">
        <v>29</v>
      </c>
      <c r="B21" s="11"/>
      <c r="C21" s="11"/>
      <c r="D21" s="11"/>
      <c r="E21" s="11"/>
      <c r="F21" s="11"/>
      <c r="G21" s="11"/>
      <c r="H21" s="11"/>
      <c r="I21" s="11"/>
      <c r="J21" s="11"/>
    </row>
    <row r="22" customFormat="false" ht="35.05" hidden="false" customHeight="false" outlineLevel="0" collapsed="false">
      <c r="A22" s="25" t="n">
        <v>99059</v>
      </c>
      <c r="B22" s="18" t="s">
        <v>30</v>
      </c>
      <c r="C22" s="18" t="s">
        <v>31</v>
      </c>
      <c r="D22" s="19" t="s">
        <v>32</v>
      </c>
      <c r="E22" s="20" t="n">
        <f aca="false">7.55+8.05+8.75+8.05+7.75+5.6+5.6+2+2+(1.4*8)+8.75+0.65+0.65</f>
        <v>76.6</v>
      </c>
      <c r="F22" s="16" t="n">
        <v>45.09</v>
      </c>
      <c r="G22" s="16" t="n">
        <f aca="false">F22*1.25</f>
        <v>56.3625</v>
      </c>
      <c r="H22" s="16" t="n">
        <f aca="false">J22*0.6</f>
        <v>2590.3056</v>
      </c>
      <c r="I22" s="16" t="n">
        <f aca="false">J22*0.4</f>
        <v>1726.8704</v>
      </c>
      <c r="J22" s="16" t="n">
        <f aca="false">ROUND(E22,2)*(ROUND(G22,2))</f>
        <v>4317.176</v>
      </c>
    </row>
    <row r="23" customFormat="false" ht="35.05" hidden="false" customHeight="false" outlineLevel="0" collapsed="false">
      <c r="A23" s="25" t="n">
        <v>96525</v>
      </c>
      <c r="B23" s="18" t="s">
        <v>33</v>
      </c>
      <c r="C23" s="18" t="s">
        <v>34</v>
      </c>
      <c r="D23" s="19" t="s">
        <v>35</v>
      </c>
      <c r="E23" s="19" t="n">
        <f aca="false">72.6*0.35*0.4</f>
        <v>10.164</v>
      </c>
      <c r="F23" s="16" t="n">
        <v>43.04</v>
      </c>
      <c r="G23" s="16" t="n">
        <f aca="false">F23*1.25</f>
        <v>53.8</v>
      </c>
      <c r="H23" s="16" t="n">
        <f aca="false">J23*0.6</f>
        <v>327.9648</v>
      </c>
      <c r="I23" s="16" t="n">
        <f aca="false">J23*0.4</f>
        <v>218.6432</v>
      </c>
      <c r="J23" s="16" t="n">
        <f aca="false">ROUND(E23,2)*(ROUND(G23,2))</f>
        <v>546.608</v>
      </c>
    </row>
    <row r="24" customFormat="false" ht="46.25" hidden="false" customHeight="false" outlineLevel="0" collapsed="false">
      <c r="A24" s="25" t="n">
        <v>96520</v>
      </c>
      <c r="B24" s="18" t="s">
        <v>36</v>
      </c>
      <c r="C24" s="18" t="s">
        <v>37</v>
      </c>
      <c r="D24" s="19" t="s">
        <v>35</v>
      </c>
      <c r="E24" s="19" t="n">
        <f aca="false">(0.6*0.6*0.6*12)</f>
        <v>2.592</v>
      </c>
      <c r="F24" s="16" t="n">
        <v>95.73</v>
      </c>
      <c r="G24" s="16" t="n">
        <f aca="false">F24*1.25</f>
        <v>119.6625</v>
      </c>
      <c r="H24" s="16" t="n">
        <f aca="false">J24*0.6</f>
        <v>185.95164</v>
      </c>
      <c r="I24" s="16" t="n">
        <f aca="false">J24*0.4</f>
        <v>123.96776</v>
      </c>
      <c r="J24" s="16" t="n">
        <f aca="false">ROUND(E24,2)*(ROUND(G24,2))</f>
        <v>309.9194</v>
      </c>
    </row>
    <row r="25" customFormat="false" ht="13.8" hidden="false" customHeight="false" outlineLevel="0" collapsed="false">
      <c r="A25" s="25" t="n">
        <v>96995</v>
      </c>
      <c r="B25" s="18" t="s">
        <v>38</v>
      </c>
      <c r="C25" s="18" t="s">
        <v>39</v>
      </c>
      <c r="D25" s="19" t="s">
        <v>35</v>
      </c>
      <c r="E25" s="19" t="n">
        <f aca="false">(72.6*0.35*0.4)-(72.6*0.15*0.4)</f>
        <v>5.808</v>
      </c>
      <c r="F25" s="16" t="n">
        <v>45.18</v>
      </c>
      <c r="G25" s="16" t="n">
        <f aca="false">F25*1.25</f>
        <v>56.475</v>
      </c>
      <c r="H25" s="16" t="n">
        <f aca="false">J25*0.6</f>
        <v>196.88928</v>
      </c>
      <c r="I25" s="16" t="n">
        <f aca="false">J25*0.4</f>
        <v>131.25952</v>
      </c>
      <c r="J25" s="16" t="n">
        <f aca="false">ROUND(E25,2)*(ROUND(G25,2))</f>
        <v>328.1488</v>
      </c>
    </row>
    <row r="26" customFormat="false" ht="13.8" hidden="false" customHeight="false" outlineLevel="0" collapsed="false">
      <c r="A26" s="22"/>
      <c r="B26" s="22"/>
      <c r="C26" s="22"/>
      <c r="D26" s="22"/>
      <c r="E26" s="22"/>
      <c r="F26" s="22"/>
      <c r="G26" s="22"/>
      <c r="H26" s="22"/>
      <c r="I26" s="23" t="s">
        <v>28</v>
      </c>
      <c r="J26" s="24" t="n">
        <f aca="false">SUM(J22:J25)</f>
        <v>5501.8522</v>
      </c>
    </row>
    <row r="27" customFormat="false" ht="13.8" hidden="false" customHeight="false" outlineLevel="0" collapsed="false">
      <c r="A27" s="11" t="s">
        <v>40</v>
      </c>
      <c r="B27" s="11"/>
      <c r="C27" s="11"/>
      <c r="D27" s="11"/>
      <c r="E27" s="11"/>
      <c r="F27" s="11"/>
      <c r="G27" s="11"/>
      <c r="H27" s="11"/>
      <c r="I27" s="11"/>
      <c r="J27" s="11"/>
    </row>
    <row r="28" customFormat="false" ht="35.05" hidden="false" customHeight="false" outlineLevel="0" collapsed="false">
      <c r="A28" s="25" t="n">
        <v>96621</v>
      </c>
      <c r="B28" s="18" t="s">
        <v>41</v>
      </c>
      <c r="C28" s="18" t="s">
        <v>42</v>
      </c>
      <c r="D28" s="19" t="s">
        <v>35</v>
      </c>
      <c r="E28" s="19" t="n">
        <f aca="false">(0.6*0.6*0.05*12)+(72.6*0.15*0.05)</f>
        <v>0.7605</v>
      </c>
      <c r="F28" s="16" t="n">
        <v>169.36</v>
      </c>
      <c r="G28" s="16" t="n">
        <f aca="false">F28*1.25</f>
        <v>211.7</v>
      </c>
      <c r="H28" s="16" t="n">
        <f aca="false">J28*0.6</f>
        <v>96.5352</v>
      </c>
      <c r="I28" s="16" t="n">
        <f aca="false">J28*0.4</f>
        <v>64.3568</v>
      </c>
      <c r="J28" s="16" t="n">
        <f aca="false">ROUND(E28,2)*(ROUND(G28,2))</f>
        <v>160.892</v>
      </c>
    </row>
    <row r="29" customFormat="false" ht="23.85" hidden="false" customHeight="false" outlineLevel="0" collapsed="false">
      <c r="A29" s="25" t="n">
        <v>96546</v>
      </c>
      <c r="B29" s="18" t="s">
        <v>43</v>
      </c>
      <c r="C29" s="26" t="s">
        <v>44</v>
      </c>
      <c r="D29" s="19" t="s">
        <v>45</v>
      </c>
      <c r="E29" s="19" t="n">
        <f aca="false">(2.06*10*0.63*12)+(72.6*5*0.63)</f>
        <v>384.426</v>
      </c>
      <c r="F29" s="16" t="n">
        <v>13.26</v>
      </c>
      <c r="G29" s="16" t="n">
        <f aca="false">F29*1.25</f>
        <v>16.575</v>
      </c>
      <c r="H29" s="16" t="n">
        <f aca="false">J29*0.6</f>
        <v>3824.30964</v>
      </c>
      <c r="I29" s="16" t="n">
        <f aca="false">J29*0.4</f>
        <v>2549.53976</v>
      </c>
      <c r="J29" s="16" t="n">
        <f aca="false">ROUND(E29,2)*(ROUND(G29,2))</f>
        <v>6373.8494</v>
      </c>
    </row>
    <row r="30" customFormat="false" ht="23.85" hidden="false" customHeight="false" outlineLevel="0" collapsed="false">
      <c r="A30" s="25" t="n">
        <v>96543</v>
      </c>
      <c r="B30" s="18" t="s">
        <v>46</v>
      </c>
      <c r="C30" s="26" t="s">
        <v>47</v>
      </c>
      <c r="D30" s="19" t="s">
        <v>45</v>
      </c>
      <c r="E30" s="19" t="n">
        <f aca="false">(72.6/0.15)*1.03*0.16</f>
        <v>79.7632</v>
      </c>
      <c r="F30" s="16" t="n">
        <v>17.27</v>
      </c>
      <c r="G30" s="16" t="n">
        <f aca="false">F30*1.25</f>
        <v>21.5875</v>
      </c>
      <c r="H30" s="16" t="n">
        <f aca="false">J30*0.6</f>
        <v>1033.21104</v>
      </c>
      <c r="I30" s="16" t="n">
        <f aca="false">J30*0.4</f>
        <v>688.80736</v>
      </c>
      <c r="J30" s="16" t="n">
        <f aca="false">ROUND(E30,2)*(ROUND(G30,2))</f>
        <v>1722.0184</v>
      </c>
    </row>
    <row r="31" customFormat="false" ht="35.05" hidden="false" customHeight="false" outlineLevel="0" collapsed="false">
      <c r="A31" s="25" t="n">
        <v>96530</v>
      </c>
      <c r="B31" s="18" t="s">
        <v>48</v>
      </c>
      <c r="C31" s="26" t="s">
        <v>49</v>
      </c>
      <c r="D31" s="19" t="s">
        <v>23</v>
      </c>
      <c r="E31" s="19" t="n">
        <f aca="false">(72.6*0.4*2)</f>
        <v>58.08</v>
      </c>
      <c r="F31" s="16" t="n">
        <v>132.17</v>
      </c>
      <c r="G31" s="16" t="n">
        <f aca="false">F31*1.25</f>
        <v>165.2125</v>
      </c>
      <c r="H31" s="16" t="n">
        <f aca="false">J31*0.6</f>
        <v>5757.23808</v>
      </c>
      <c r="I31" s="16" t="n">
        <f aca="false">J31*0.4</f>
        <v>3838.15872</v>
      </c>
      <c r="J31" s="16" t="n">
        <f aca="false">ROUND(E31,2)*(ROUND(G31,2))</f>
        <v>9595.3968</v>
      </c>
    </row>
    <row r="32" customFormat="false" ht="46.25" hidden="false" customHeight="false" outlineLevel="0" collapsed="false">
      <c r="A32" s="25" t="n">
        <v>96557</v>
      </c>
      <c r="B32" s="18" t="s">
        <v>50</v>
      </c>
      <c r="C32" s="26" t="s">
        <v>51</v>
      </c>
      <c r="D32" s="19" t="s">
        <v>35</v>
      </c>
      <c r="E32" s="19" t="n">
        <f aca="false">(0.6*0.6*0.6*12)+(72.6*0.15*0.4)</f>
        <v>6.948</v>
      </c>
      <c r="F32" s="16" t="n">
        <v>592.97</v>
      </c>
      <c r="G32" s="16" t="n">
        <f aca="false">F32*1.25</f>
        <v>741.2125</v>
      </c>
      <c r="H32" s="16" t="n">
        <f aca="false">J32*0.6</f>
        <v>3090.8457</v>
      </c>
      <c r="I32" s="16" t="n">
        <f aca="false">J32*0.4</f>
        <v>2060.5638</v>
      </c>
      <c r="J32" s="16" t="n">
        <f aca="false">ROUND(E32,2)*(ROUND(G32,2))</f>
        <v>5151.4095</v>
      </c>
    </row>
    <row r="33" customFormat="false" ht="23.85" hidden="false" customHeight="false" outlineLevel="0" collapsed="false">
      <c r="A33" s="25" t="n">
        <v>98557</v>
      </c>
      <c r="B33" s="18" t="s">
        <v>52</v>
      </c>
      <c r="C33" s="26" t="s">
        <v>53</v>
      </c>
      <c r="D33" s="19" t="s">
        <v>23</v>
      </c>
      <c r="E33" s="19" t="n">
        <f aca="false">(72.6*0.4*2)+(72.6*0.15)</f>
        <v>68.97</v>
      </c>
      <c r="F33" s="16" t="n">
        <v>44.31</v>
      </c>
      <c r="G33" s="16" t="n">
        <f aca="false">F33*1.25</f>
        <v>55.3875</v>
      </c>
      <c r="H33" s="16" t="n">
        <f aca="false">J33*0.6</f>
        <v>2292.14898</v>
      </c>
      <c r="I33" s="16" t="n">
        <f aca="false">J33*0.4</f>
        <v>1528.09932</v>
      </c>
      <c r="J33" s="16" t="n">
        <f aca="false">ROUND(E33,2)*(ROUND(G33,2))</f>
        <v>3820.2483</v>
      </c>
    </row>
    <row r="34" customFormat="false" ht="13.8" hidden="false" customHeight="false" outlineLevel="0" collapsed="false">
      <c r="A34" s="22"/>
      <c r="B34" s="22"/>
      <c r="C34" s="22"/>
      <c r="D34" s="22"/>
      <c r="E34" s="22"/>
      <c r="F34" s="22"/>
      <c r="G34" s="22"/>
      <c r="H34" s="22"/>
      <c r="I34" s="23" t="s">
        <v>28</v>
      </c>
      <c r="J34" s="24" t="n">
        <f aca="false">SUM(J28:J33)</f>
        <v>26823.8144</v>
      </c>
    </row>
    <row r="35" customFormat="false" ht="13.8" hidden="false" customHeight="false" outlineLevel="0" collapsed="false">
      <c r="A35" s="11" t="s">
        <v>54</v>
      </c>
      <c r="B35" s="11"/>
      <c r="C35" s="11"/>
      <c r="D35" s="11"/>
      <c r="E35" s="11"/>
      <c r="F35" s="11"/>
      <c r="G35" s="11"/>
      <c r="H35" s="11"/>
      <c r="I35" s="11"/>
      <c r="J35" s="11"/>
    </row>
    <row r="36" customFormat="false" ht="46.25" hidden="false" customHeight="false" outlineLevel="0" collapsed="false">
      <c r="A36" s="25" t="n">
        <v>103330</v>
      </c>
      <c r="B36" s="25" t="s">
        <v>55</v>
      </c>
      <c r="C36" s="26" t="s">
        <v>56</v>
      </c>
      <c r="D36" s="19" t="s">
        <v>23</v>
      </c>
      <c r="E36" s="20" t="n">
        <f aca="false">((7.55+5.9+8.75+5.9+2+2+8.75+7.75)*2.6)+((5.6+5.6+(1.4*8)+0.65+0.65)*2)</f>
        <v>173.76</v>
      </c>
      <c r="F36" s="16" t="n">
        <v>77.14</v>
      </c>
      <c r="G36" s="16" t="n">
        <f aca="false">F36*1.25</f>
        <v>96.425</v>
      </c>
      <c r="H36" s="16" t="n">
        <f aca="false">J36*0.6</f>
        <v>10053.40608</v>
      </c>
      <c r="I36" s="16" t="n">
        <f aca="false">J36*0.4</f>
        <v>6702.27072</v>
      </c>
      <c r="J36" s="16" t="n">
        <f aca="false">ROUND(E36,2)*(ROUND(G36,2))</f>
        <v>16755.6768</v>
      </c>
    </row>
    <row r="37" customFormat="false" ht="13.8" hidden="false" customHeight="false" outlineLevel="0" collapsed="false">
      <c r="A37" s="22"/>
      <c r="B37" s="22"/>
      <c r="C37" s="22"/>
      <c r="D37" s="22"/>
      <c r="E37" s="22"/>
      <c r="F37" s="22"/>
      <c r="G37" s="22"/>
      <c r="H37" s="22"/>
      <c r="I37" s="23" t="s">
        <v>28</v>
      </c>
      <c r="J37" s="24" t="n">
        <f aca="false">SUM(J36:J36)</f>
        <v>16755.6768</v>
      </c>
    </row>
    <row r="38" customFormat="false" ht="13.8" hidden="false" customHeight="false" outlineLevel="0" collapsed="false">
      <c r="A38" s="11" t="s">
        <v>57</v>
      </c>
      <c r="B38" s="11"/>
      <c r="C38" s="11"/>
      <c r="D38" s="11"/>
      <c r="E38" s="11"/>
      <c r="F38" s="11"/>
      <c r="G38" s="11"/>
      <c r="H38" s="11"/>
      <c r="I38" s="11"/>
      <c r="J38" s="11"/>
    </row>
    <row r="39" customFormat="false" ht="13.8" hidden="false" customHeight="false" outlineLevel="0" collapsed="false">
      <c r="A39" s="27" t="s">
        <v>58</v>
      </c>
      <c r="B39" s="27"/>
      <c r="C39" s="27"/>
      <c r="D39" s="27"/>
      <c r="E39" s="27"/>
      <c r="F39" s="27"/>
      <c r="G39" s="27"/>
      <c r="H39" s="27"/>
      <c r="I39" s="27"/>
      <c r="J39" s="27"/>
    </row>
    <row r="40" customFormat="false" ht="46.25" hidden="false" customHeight="false" outlineLevel="0" collapsed="false">
      <c r="A40" s="28" t="n">
        <v>92778</v>
      </c>
      <c r="B40" s="28" t="s">
        <v>59</v>
      </c>
      <c r="C40" s="29" t="s">
        <v>60</v>
      </c>
      <c r="D40" s="20" t="s">
        <v>45</v>
      </c>
      <c r="E40" s="20" t="n">
        <f aca="false">(4*3.32*0.63*6)+(4*4.17*0.63*6)</f>
        <v>113.2488</v>
      </c>
      <c r="F40" s="16" t="n">
        <v>13.17</v>
      </c>
      <c r="G40" s="30" t="n">
        <f aca="false">F40*1.25</f>
        <v>16.4625</v>
      </c>
      <c r="H40" s="30" t="n">
        <f aca="false">J40*0.6</f>
        <v>1118.457</v>
      </c>
      <c r="I40" s="30" t="n">
        <f aca="false">J40*0.4</f>
        <v>745.638</v>
      </c>
      <c r="J40" s="16" t="n">
        <f aca="false">ROUND(E40,2)*(ROUND(G40,2))</f>
        <v>1864.095</v>
      </c>
    </row>
    <row r="41" customFormat="false" ht="46.25" hidden="false" customHeight="false" outlineLevel="0" collapsed="false">
      <c r="A41" s="28" t="n">
        <v>92775</v>
      </c>
      <c r="B41" s="28" t="s">
        <v>61</v>
      </c>
      <c r="C41" s="29" t="s">
        <v>62</v>
      </c>
      <c r="D41" s="20" t="s">
        <v>45</v>
      </c>
      <c r="E41" s="20" t="n">
        <f aca="false">((40.14/0.15)*0.63*0.16)</f>
        <v>26.97408</v>
      </c>
      <c r="F41" s="16" t="n">
        <v>17.35</v>
      </c>
      <c r="G41" s="30" t="n">
        <f aca="false">F41*1.25</f>
        <v>21.6875</v>
      </c>
      <c r="H41" s="30" t="n">
        <f aca="false">J41*0.6</f>
        <v>350.98758</v>
      </c>
      <c r="I41" s="30" t="n">
        <f aca="false">J41*0.4</f>
        <v>233.99172</v>
      </c>
      <c r="J41" s="16" t="n">
        <f aca="false">ROUND(E41,2)*(ROUND(G41,2))</f>
        <v>584.9793</v>
      </c>
    </row>
    <row r="42" customFormat="false" ht="35.05" hidden="false" customHeight="false" outlineLevel="0" collapsed="false">
      <c r="A42" s="28" t="n">
        <v>92269</v>
      </c>
      <c r="B42" s="28" t="s">
        <v>63</v>
      </c>
      <c r="C42" s="29" t="s">
        <v>64</v>
      </c>
      <c r="D42" s="20" t="s">
        <v>23</v>
      </c>
      <c r="E42" s="20" t="n">
        <f aca="false">(0.15*2.8*9)+(0.2*2.8*12)+(0.15*0.85*2)+(0.2*0.85*12)</f>
        <v>12.795</v>
      </c>
      <c r="F42" s="16" t="n">
        <v>141.46</v>
      </c>
      <c r="G42" s="30" t="n">
        <f aca="false">F42*1.25</f>
        <v>176.825</v>
      </c>
      <c r="H42" s="30" t="n">
        <f aca="false">J42*0.6</f>
        <v>1358.0544</v>
      </c>
      <c r="I42" s="30" t="n">
        <f aca="false">J42*0.4</f>
        <v>905.3696</v>
      </c>
      <c r="J42" s="16" t="n">
        <f aca="false">ROUND(E42,2)*(ROUND(G42,2))</f>
        <v>2263.424</v>
      </c>
    </row>
    <row r="43" customFormat="false" ht="35.05" hidden="false" customHeight="false" outlineLevel="0" collapsed="false">
      <c r="A43" s="28" t="n">
        <v>103672</v>
      </c>
      <c r="B43" s="28" t="s">
        <v>65</v>
      </c>
      <c r="C43" s="18" t="s">
        <v>66</v>
      </c>
      <c r="D43" s="20" t="s">
        <v>35</v>
      </c>
      <c r="E43" s="20" t="n">
        <f aca="false">(0.15*0.2*2.8*12)+(0.15*0.2*0.85*6)</f>
        <v>1.161</v>
      </c>
      <c r="F43" s="16" t="n">
        <v>570.04</v>
      </c>
      <c r="G43" s="30" t="n">
        <f aca="false">F43*1.25</f>
        <v>712.55</v>
      </c>
      <c r="H43" s="30" t="n">
        <f aca="false">J43*0.6</f>
        <v>495.9348</v>
      </c>
      <c r="I43" s="30" t="n">
        <f aca="false">J43*0.4</f>
        <v>330.6232</v>
      </c>
      <c r="J43" s="16" t="n">
        <f aca="false">ROUND(E43,2)*(ROUND(G43,2))</f>
        <v>826.558</v>
      </c>
    </row>
    <row r="44" customFormat="false" ht="13.8" hidden="false" customHeight="false" outlineLevel="0" collapsed="false">
      <c r="A44" s="27" t="s">
        <v>67</v>
      </c>
      <c r="B44" s="27"/>
      <c r="C44" s="27"/>
      <c r="D44" s="27"/>
      <c r="E44" s="27"/>
      <c r="F44" s="27"/>
      <c r="G44" s="27"/>
      <c r="H44" s="27"/>
      <c r="I44" s="27"/>
      <c r="J44" s="27"/>
    </row>
    <row r="45" customFormat="false" ht="46.25" hidden="false" customHeight="false" outlineLevel="0" collapsed="false">
      <c r="A45" s="28" t="n">
        <v>92778</v>
      </c>
      <c r="B45" s="28" t="s">
        <v>68</v>
      </c>
      <c r="C45" s="29" t="s">
        <v>69</v>
      </c>
      <c r="D45" s="20" t="s">
        <v>45</v>
      </c>
      <c r="E45" s="20" t="n">
        <f aca="false">(4*52.9*0.63)</f>
        <v>133.308</v>
      </c>
      <c r="F45" s="16" t="n">
        <v>13.17</v>
      </c>
      <c r="G45" s="30" t="n">
        <f aca="false">F45*1.25</f>
        <v>16.4625</v>
      </c>
      <c r="H45" s="30" t="n">
        <f aca="false">J45*0.6</f>
        <v>1316.56956</v>
      </c>
      <c r="I45" s="30" t="n">
        <f aca="false">J45*0.4</f>
        <v>877.71304</v>
      </c>
      <c r="J45" s="16" t="n">
        <f aca="false">ROUND(E45,2)*(ROUND(G45,2))</f>
        <v>2194.2826</v>
      </c>
    </row>
    <row r="46" customFormat="false" ht="46.25" hidden="false" customHeight="false" outlineLevel="0" collapsed="false">
      <c r="A46" s="28" t="n">
        <v>92775</v>
      </c>
      <c r="B46" s="28" t="s">
        <v>70</v>
      </c>
      <c r="C46" s="29" t="s">
        <v>71</v>
      </c>
      <c r="D46" s="20" t="s">
        <v>45</v>
      </c>
      <c r="E46" s="20" t="n">
        <f aca="false">(52.9/0.15)*0.93*0.16</f>
        <v>52.4768</v>
      </c>
      <c r="F46" s="16" t="n">
        <v>17.35</v>
      </c>
      <c r="G46" s="30" t="n">
        <f aca="false">F46*1.25</f>
        <v>21.6875</v>
      </c>
      <c r="H46" s="30" t="n">
        <f aca="false">J46*0.6</f>
        <v>682.97472</v>
      </c>
      <c r="I46" s="30" t="n">
        <f aca="false">J46*0.4</f>
        <v>455.31648</v>
      </c>
      <c r="J46" s="16" t="n">
        <f aca="false">ROUND(E46,2)*(ROUND(G46,2))</f>
        <v>1138.2912</v>
      </c>
    </row>
    <row r="47" customFormat="false" ht="23.85" hidden="false" customHeight="false" outlineLevel="0" collapsed="false">
      <c r="A47" s="28" t="n">
        <v>92270</v>
      </c>
      <c r="B47" s="28" t="s">
        <v>72</v>
      </c>
      <c r="C47" s="29" t="s">
        <v>73</v>
      </c>
      <c r="D47" s="20" t="s">
        <v>23</v>
      </c>
      <c r="E47" s="20" t="n">
        <f aca="false">(52.9*0.35*2)+(4*0.15*2)</f>
        <v>38.23</v>
      </c>
      <c r="F47" s="16" t="n">
        <v>113.41</v>
      </c>
      <c r="G47" s="30" t="n">
        <f aca="false">F47*1.25</f>
        <v>141.7625</v>
      </c>
      <c r="H47" s="30" t="n">
        <f aca="false">J47*0.6</f>
        <v>3251.69088</v>
      </c>
      <c r="I47" s="30" t="n">
        <f aca="false">J47*0.4</f>
        <v>2167.79392</v>
      </c>
      <c r="J47" s="16" t="n">
        <f aca="false">ROUND(E47,2)*(ROUND(G47,2))</f>
        <v>5419.4848</v>
      </c>
    </row>
    <row r="48" customFormat="false" ht="35.05" hidden="false" customHeight="false" outlineLevel="0" collapsed="false">
      <c r="A48" s="28" t="n">
        <v>103674</v>
      </c>
      <c r="B48" s="28" t="s">
        <v>74</v>
      </c>
      <c r="C48" s="29" t="s">
        <v>75</v>
      </c>
      <c r="D48" s="20" t="s">
        <v>35</v>
      </c>
      <c r="E48" s="20" t="n">
        <f aca="false">(52.9*0.15*0.35)</f>
        <v>2.77725</v>
      </c>
      <c r="F48" s="16" t="n">
        <v>586.82</v>
      </c>
      <c r="G48" s="30" t="n">
        <f aca="false">F48*1.25</f>
        <v>733.525</v>
      </c>
      <c r="H48" s="30" t="n">
        <f aca="false">J48*0.6</f>
        <v>1223.52804</v>
      </c>
      <c r="I48" s="30" t="n">
        <f aca="false">J48*0.4</f>
        <v>815.68536</v>
      </c>
      <c r="J48" s="16" t="n">
        <f aca="false">ROUND(E48,2)*(ROUND(G48,2))</f>
        <v>2039.2134</v>
      </c>
    </row>
    <row r="49" customFormat="false" ht="13.8" hidden="false" customHeight="false" outlineLevel="0" collapsed="false">
      <c r="A49" s="27" t="s">
        <v>76</v>
      </c>
      <c r="B49" s="27"/>
      <c r="C49" s="27"/>
      <c r="D49" s="27"/>
      <c r="E49" s="27"/>
      <c r="F49" s="27"/>
      <c r="G49" s="27"/>
      <c r="H49" s="27"/>
      <c r="I49" s="27"/>
      <c r="J49" s="27"/>
    </row>
    <row r="50" customFormat="false" ht="46.25" hidden="false" customHeight="false" outlineLevel="0" collapsed="false">
      <c r="A50" s="18" t="n">
        <v>101964</v>
      </c>
      <c r="B50" s="25" t="s">
        <v>77</v>
      </c>
      <c r="C50" s="18" t="s">
        <v>78</v>
      </c>
      <c r="D50" s="19" t="s">
        <v>23</v>
      </c>
      <c r="E50" s="20" t="n">
        <f aca="false">8.75*8.05</f>
        <v>70.4375</v>
      </c>
      <c r="F50" s="16" t="n">
        <v>152.77</v>
      </c>
      <c r="G50" s="16" t="n">
        <f aca="false">F50*1.25</f>
        <v>190.9625</v>
      </c>
      <c r="H50" s="16" t="n">
        <f aca="false">J50*0.6</f>
        <v>8070.73344</v>
      </c>
      <c r="I50" s="16" t="n">
        <f aca="false">J50*0.4</f>
        <v>5380.48896</v>
      </c>
      <c r="J50" s="16" t="n">
        <f aca="false">ROUND(E50,2)*(ROUND(G50,2))</f>
        <v>13451.2224</v>
      </c>
    </row>
    <row r="51" customFormat="false" ht="13.8" hidden="false" customHeight="false" outlineLevel="0" collapsed="false">
      <c r="A51" s="22"/>
      <c r="B51" s="22"/>
      <c r="C51" s="22"/>
      <c r="D51" s="22"/>
      <c r="E51" s="22"/>
      <c r="F51" s="22"/>
      <c r="G51" s="22"/>
      <c r="H51" s="22"/>
      <c r="I51" s="23" t="s">
        <v>28</v>
      </c>
      <c r="J51" s="24" t="n">
        <f aca="false">SUM(J40:J50)</f>
        <v>29781.5507</v>
      </c>
    </row>
    <row r="52" customFormat="false" ht="13.8" hidden="false" customHeight="false" outlineLevel="0" collapsed="false">
      <c r="A52" s="11" t="s">
        <v>79</v>
      </c>
      <c r="B52" s="11"/>
      <c r="C52" s="11"/>
      <c r="D52" s="11"/>
      <c r="E52" s="11"/>
      <c r="F52" s="11"/>
      <c r="G52" s="11"/>
      <c r="H52" s="11"/>
      <c r="I52" s="11"/>
      <c r="J52" s="11"/>
    </row>
    <row r="53" customFormat="false" ht="35.05" hidden="false" customHeight="false" outlineLevel="0" collapsed="false">
      <c r="A53" s="18" t="n">
        <v>93196</v>
      </c>
      <c r="B53" s="25" t="s">
        <v>80</v>
      </c>
      <c r="C53" s="18" t="s">
        <v>81</v>
      </c>
      <c r="D53" s="19" t="s">
        <v>32</v>
      </c>
      <c r="E53" s="20" t="n">
        <f aca="false">0.7+0.7</f>
        <v>1.4</v>
      </c>
      <c r="F53" s="16" t="n">
        <v>65.08</v>
      </c>
      <c r="G53" s="16" t="n">
        <f aca="false">F53*1.25</f>
        <v>81.35</v>
      </c>
      <c r="H53" s="16" t="n">
        <f aca="false">J53*0.6</f>
        <v>68.334</v>
      </c>
      <c r="I53" s="16" t="n">
        <f aca="false">J53*0.4</f>
        <v>45.556</v>
      </c>
      <c r="J53" s="16" t="n">
        <f aca="false">ROUND(E53,2)*(ROUND(G53,2))</f>
        <v>113.89</v>
      </c>
    </row>
    <row r="54" customFormat="false" ht="35.05" hidden="false" customHeight="false" outlineLevel="0" collapsed="false">
      <c r="A54" s="18" t="n">
        <v>93197</v>
      </c>
      <c r="B54" s="25" t="s">
        <v>82</v>
      </c>
      <c r="C54" s="18" t="s">
        <v>83</v>
      </c>
      <c r="D54" s="19" t="s">
        <v>32</v>
      </c>
      <c r="E54" s="20" t="n">
        <f aca="false">3.55+3.55</f>
        <v>7.1</v>
      </c>
      <c r="F54" s="16" t="n">
        <v>72.61</v>
      </c>
      <c r="G54" s="16" t="n">
        <f aca="false">F54*1.25</f>
        <v>90.7625</v>
      </c>
      <c r="H54" s="16" t="n">
        <f aca="false">J54*0.6</f>
        <v>386.6376</v>
      </c>
      <c r="I54" s="16" t="n">
        <f aca="false">J54*0.4</f>
        <v>257.7584</v>
      </c>
      <c r="J54" s="16" t="n">
        <f aca="false">ROUND(E54,2)*(ROUND(G54,2))</f>
        <v>644.396</v>
      </c>
    </row>
    <row r="55" customFormat="false" ht="23.85" hidden="false" customHeight="false" outlineLevel="0" collapsed="false">
      <c r="A55" s="18" t="n">
        <v>93188</v>
      </c>
      <c r="B55" s="25" t="s">
        <v>84</v>
      </c>
      <c r="C55" s="18" t="s">
        <v>85</v>
      </c>
      <c r="D55" s="19" t="s">
        <v>32</v>
      </c>
      <c r="E55" s="20" t="n">
        <f aca="false">1.2+1.2+1.2+1.2</f>
        <v>4.8</v>
      </c>
      <c r="F55" s="16" t="n">
        <v>62.93</v>
      </c>
      <c r="G55" s="16" t="n">
        <f aca="false">F55*1.25</f>
        <v>78.6625</v>
      </c>
      <c r="H55" s="16" t="n">
        <f aca="false">J55*0.6</f>
        <v>226.5408</v>
      </c>
      <c r="I55" s="16" t="n">
        <f aca="false">J55*0.4</f>
        <v>151.0272</v>
      </c>
      <c r="J55" s="16" t="n">
        <f aca="false">ROUND(E55,2)*(ROUND(G55,2))</f>
        <v>377.568</v>
      </c>
    </row>
    <row r="56" customFormat="false" ht="46.25" hidden="false" customHeight="false" outlineLevel="0" collapsed="false">
      <c r="A56" s="18" t="n">
        <v>92775</v>
      </c>
      <c r="B56" s="25" t="s">
        <v>86</v>
      </c>
      <c r="C56" s="18" t="s">
        <v>71</v>
      </c>
      <c r="D56" s="18" t="s">
        <v>45</v>
      </c>
      <c r="E56" s="20" t="n">
        <f aca="false">((13.3/0.15)*0.53*0.16)</f>
        <v>7.51893333333334</v>
      </c>
      <c r="F56" s="16" t="n">
        <v>17.35</v>
      </c>
      <c r="G56" s="16" t="n">
        <f aca="false">F56*1.25</f>
        <v>21.6875</v>
      </c>
      <c r="H56" s="16" t="n">
        <f aca="false">J56*0.6</f>
        <v>97.86528</v>
      </c>
      <c r="I56" s="16" t="n">
        <f aca="false">J56*0.4</f>
        <v>65.24352</v>
      </c>
      <c r="J56" s="16" t="n">
        <f aca="false">ROUND(E56,2)*(ROUND(G56,2))</f>
        <v>163.1088</v>
      </c>
    </row>
    <row r="57" customFormat="false" ht="13.8" hidden="false" customHeight="false" outlineLevel="0" collapsed="false">
      <c r="A57" s="22"/>
      <c r="B57" s="22"/>
      <c r="C57" s="22"/>
      <c r="D57" s="22"/>
      <c r="E57" s="22"/>
      <c r="F57" s="22"/>
      <c r="G57" s="22"/>
      <c r="H57" s="22"/>
      <c r="I57" s="23" t="s">
        <v>28</v>
      </c>
      <c r="J57" s="24" t="n">
        <f aca="false">SUM(J53:J56)</f>
        <v>1298.9628</v>
      </c>
    </row>
    <row r="58" customFormat="false" ht="13.8" hidden="false" customHeight="false" outlineLevel="0" collapsed="false">
      <c r="A58" s="11" t="s">
        <v>87</v>
      </c>
      <c r="B58" s="11"/>
      <c r="C58" s="11"/>
      <c r="D58" s="11"/>
      <c r="E58" s="11"/>
      <c r="F58" s="11"/>
      <c r="G58" s="11"/>
      <c r="H58" s="11"/>
      <c r="I58" s="11"/>
      <c r="J58" s="11"/>
    </row>
    <row r="59" customFormat="false" ht="46.25" hidden="false" customHeight="false" outlineLevel="0" collapsed="false">
      <c r="A59" s="18" t="n">
        <v>103330</v>
      </c>
      <c r="B59" s="25" t="s">
        <v>88</v>
      </c>
      <c r="C59" s="26" t="s">
        <v>56</v>
      </c>
      <c r="D59" s="19" t="s">
        <v>23</v>
      </c>
      <c r="E59" s="20" t="n">
        <f aca="false">(8.75*0.5)+(7.55*0.5)</f>
        <v>8.15</v>
      </c>
      <c r="F59" s="16" t="n">
        <v>77.14</v>
      </c>
      <c r="G59" s="16" t="n">
        <f aca="false">F59*1.25</f>
        <v>96.425</v>
      </c>
      <c r="H59" s="16" t="n">
        <f aca="false">J59*0.6</f>
        <v>471.5427</v>
      </c>
      <c r="I59" s="16" t="n">
        <f aca="false">J59*0.4</f>
        <v>314.3618</v>
      </c>
      <c r="J59" s="16" t="n">
        <f aca="false">ROUND(E59,2)*(ROUND(G59,2))</f>
        <v>785.9045</v>
      </c>
      <c r="K59" s="31"/>
    </row>
    <row r="60" customFormat="false" ht="46.25" hidden="false" customHeight="false" outlineLevel="0" collapsed="false">
      <c r="A60" s="28" t="n">
        <v>92778</v>
      </c>
      <c r="B60" s="25" t="s">
        <v>89</v>
      </c>
      <c r="C60" s="29" t="s">
        <v>69</v>
      </c>
      <c r="D60" s="20" t="s">
        <v>45</v>
      </c>
      <c r="E60" s="20" t="n">
        <f aca="false">4*16.3*0.63</f>
        <v>41.076</v>
      </c>
      <c r="F60" s="16" t="n">
        <v>13.17</v>
      </c>
      <c r="G60" s="30" t="n">
        <f aca="false">F60*1.25</f>
        <v>16.4625</v>
      </c>
      <c r="H60" s="30" t="n">
        <f aca="false">J60*0.6</f>
        <v>405.70608</v>
      </c>
      <c r="I60" s="30" t="n">
        <f aca="false">J60*0.4</f>
        <v>270.47072</v>
      </c>
      <c r="J60" s="16" t="n">
        <f aca="false">ROUND(E60,2)*(ROUND(G60,2))</f>
        <v>676.1768</v>
      </c>
      <c r="K60" s="31"/>
    </row>
    <row r="61" customFormat="false" ht="46.25" hidden="false" customHeight="false" outlineLevel="0" collapsed="false">
      <c r="A61" s="28" t="n">
        <v>92775</v>
      </c>
      <c r="B61" s="25" t="s">
        <v>90</v>
      </c>
      <c r="C61" s="29" t="s">
        <v>71</v>
      </c>
      <c r="D61" s="20" t="s">
        <v>45</v>
      </c>
      <c r="E61" s="20" t="n">
        <f aca="false">((16.3/0.15)*0.93*0.16)</f>
        <v>16.1696</v>
      </c>
      <c r="F61" s="16" t="n">
        <v>17.35</v>
      </c>
      <c r="G61" s="30" t="n">
        <f aca="false">F61*1.25</f>
        <v>21.6875</v>
      </c>
      <c r="H61" s="30" t="n">
        <f aca="false">J61*0.6</f>
        <v>210.43638</v>
      </c>
      <c r="I61" s="30" t="n">
        <f aca="false">J61*0.4</f>
        <v>140.29092</v>
      </c>
      <c r="J61" s="16" t="n">
        <f aca="false">ROUND(E61,2)*(ROUND(G61,2))</f>
        <v>350.7273</v>
      </c>
      <c r="K61" s="31"/>
    </row>
    <row r="62" customFormat="false" ht="35.05" hidden="false" customHeight="false" outlineLevel="0" collapsed="false">
      <c r="A62" s="28" t="n">
        <v>103674</v>
      </c>
      <c r="B62" s="25" t="s">
        <v>91</v>
      </c>
      <c r="C62" s="29" t="s">
        <v>75</v>
      </c>
      <c r="D62" s="20" t="s">
        <v>35</v>
      </c>
      <c r="E62" s="20" t="n">
        <f aca="false">(16.3*0.15*0.35)</f>
        <v>0.85575</v>
      </c>
      <c r="F62" s="16" t="n">
        <v>586.82</v>
      </c>
      <c r="G62" s="30" t="n">
        <f aca="false">F62*1.25</f>
        <v>733.525</v>
      </c>
      <c r="H62" s="30" t="n">
        <f aca="false">J62*0.6</f>
        <v>378.50148</v>
      </c>
      <c r="I62" s="30" t="n">
        <f aca="false">J62*0.4</f>
        <v>252.33432</v>
      </c>
      <c r="J62" s="16" t="n">
        <f aca="false">ROUND(E62,2)*(ROUND(G62,2))</f>
        <v>630.8358</v>
      </c>
    </row>
    <row r="63" customFormat="false" ht="13.8" hidden="false" customHeight="false" outlineLevel="0" collapsed="false">
      <c r="A63" s="22"/>
      <c r="B63" s="22"/>
      <c r="C63" s="22"/>
      <c r="D63" s="22"/>
      <c r="E63" s="22"/>
      <c r="F63" s="22"/>
      <c r="G63" s="22"/>
      <c r="H63" s="22"/>
      <c r="I63" s="23" t="s">
        <v>28</v>
      </c>
      <c r="J63" s="24" t="n">
        <f aca="false">SUM(J59:J62)</f>
        <v>2443.6444</v>
      </c>
    </row>
    <row r="64" customFormat="false" ht="13.8" hidden="false" customHeight="false" outlineLevel="0" collapsed="false">
      <c r="A64" s="11" t="s">
        <v>92</v>
      </c>
      <c r="B64" s="11"/>
      <c r="C64" s="11"/>
      <c r="D64" s="11"/>
      <c r="E64" s="11"/>
      <c r="F64" s="11"/>
      <c r="G64" s="11"/>
      <c r="H64" s="11"/>
      <c r="I64" s="11"/>
      <c r="J64" s="11"/>
    </row>
    <row r="65" customFormat="false" ht="57.45" hidden="false" customHeight="false" outlineLevel="0" collapsed="false">
      <c r="A65" s="18" t="n">
        <v>87745</v>
      </c>
      <c r="B65" s="18" t="s">
        <v>93</v>
      </c>
      <c r="C65" s="29" t="s">
        <v>94</v>
      </c>
      <c r="D65" s="19" t="s">
        <v>23</v>
      </c>
      <c r="E65" s="20" t="n">
        <f aca="false">8.75*2.75</f>
        <v>24.0625</v>
      </c>
      <c r="F65" s="16" t="n">
        <v>45.41</v>
      </c>
      <c r="G65" s="30" t="n">
        <f aca="false">F65*1.25</f>
        <v>56.7625</v>
      </c>
      <c r="H65" s="30" t="n">
        <f aca="false">J65*0.6</f>
        <v>819.38736</v>
      </c>
      <c r="I65" s="30" t="n">
        <f aca="false">J65*0.4</f>
        <v>546.25824</v>
      </c>
      <c r="J65" s="16" t="n">
        <f aca="false">ROUND(E65,2)*(ROUND(G65,2))</f>
        <v>1365.6456</v>
      </c>
    </row>
    <row r="66" customFormat="false" ht="35.05" hidden="false" customHeight="false" outlineLevel="0" collapsed="false">
      <c r="A66" s="18" t="n">
        <v>98546</v>
      </c>
      <c r="B66" s="18" t="s">
        <v>95</v>
      </c>
      <c r="C66" s="18" t="s">
        <v>96</v>
      </c>
      <c r="D66" s="19" t="s">
        <v>23</v>
      </c>
      <c r="E66" s="20" t="n">
        <f aca="false">8.75*2.75</f>
        <v>24.0625</v>
      </c>
      <c r="F66" s="16" t="n">
        <v>96.47</v>
      </c>
      <c r="G66" s="30" t="n">
        <f aca="false">F66*1.25</f>
        <v>120.5875</v>
      </c>
      <c r="H66" s="30" t="n">
        <f aca="false">J66*0.6</f>
        <v>1740.83724</v>
      </c>
      <c r="I66" s="30" t="n">
        <f aca="false">J66*0.4</f>
        <v>1160.55816</v>
      </c>
      <c r="J66" s="16" t="n">
        <f aca="false">ROUND(E66,2)*(ROUND(G66,2))</f>
        <v>2901.3954</v>
      </c>
    </row>
    <row r="67" customFormat="false" ht="57.45" hidden="false" customHeight="false" outlineLevel="0" collapsed="false">
      <c r="A67" s="18" t="n">
        <v>92614</v>
      </c>
      <c r="B67" s="18" t="s">
        <v>97</v>
      </c>
      <c r="C67" s="29" t="s">
        <v>98</v>
      </c>
      <c r="D67" s="19" t="s">
        <v>99</v>
      </c>
      <c r="E67" s="20" t="n">
        <v>3</v>
      </c>
      <c r="F67" s="16" t="n">
        <v>2219.69</v>
      </c>
      <c r="G67" s="30" t="n">
        <f aca="false">F67*1.25</f>
        <v>2774.6125</v>
      </c>
      <c r="H67" s="30" t="n">
        <f aca="false">J67*0.6</f>
        <v>4994.298</v>
      </c>
      <c r="I67" s="30" t="n">
        <f aca="false">J67*0.4</f>
        <v>3329.532</v>
      </c>
      <c r="J67" s="16" t="n">
        <f aca="false">ROUND(E67,2)*(ROUND(G67,2))</f>
        <v>8323.83</v>
      </c>
    </row>
    <row r="68" customFormat="false" ht="57.45" hidden="false" customHeight="false" outlineLevel="0" collapsed="false">
      <c r="A68" s="18" t="n">
        <v>92580</v>
      </c>
      <c r="B68" s="18" t="s">
        <v>100</v>
      </c>
      <c r="C68" s="18" t="s">
        <v>101</v>
      </c>
      <c r="D68" s="19" t="s">
        <v>23</v>
      </c>
      <c r="E68" s="20" t="n">
        <f aca="false">5.6*8.75</f>
        <v>49</v>
      </c>
      <c r="F68" s="16" t="n">
        <v>67.79</v>
      </c>
      <c r="G68" s="30" t="n">
        <f aca="false">F68*1.25</f>
        <v>84.7375</v>
      </c>
      <c r="H68" s="30" t="n">
        <f aca="false">J68*0.6</f>
        <v>2491.356</v>
      </c>
      <c r="I68" s="30" t="n">
        <f aca="false">J68*0.4</f>
        <v>1660.904</v>
      </c>
      <c r="J68" s="16" t="n">
        <f aca="false">ROUND(E68,2)*(ROUND(G68,2))</f>
        <v>4152.26</v>
      </c>
    </row>
    <row r="69" customFormat="false" ht="35.05" hidden="false" customHeight="false" outlineLevel="0" collapsed="false">
      <c r="A69" s="18" t="n">
        <v>100327</v>
      </c>
      <c r="B69" s="18" t="s">
        <v>102</v>
      </c>
      <c r="C69" s="18" t="s">
        <v>103</v>
      </c>
      <c r="D69" s="19" t="s">
        <v>32</v>
      </c>
      <c r="E69" s="20" t="n">
        <f aca="false">7.55+7.55+8.75+8.75</f>
        <v>32.6</v>
      </c>
      <c r="F69" s="16" t="n">
        <v>72.06</v>
      </c>
      <c r="G69" s="30" t="n">
        <f aca="false">F69*1.25</f>
        <v>90.075</v>
      </c>
      <c r="H69" s="30" t="n">
        <f aca="false">J69*0.6</f>
        <v>1761.9648</v>
      </c>
      <c r="I69" s="30" t="n">
        <f aca="false">J69*0.4</f>
        <v>1174.6432</v>
      </c>
      <c r="J69" s="16" t="n">
        <f aca="false">ROUND(E69,2)*(ROUND(G69,2))</f>
        <v>2936.608</v>
      </c>
    </row>
    <row r="70" customFormat="false" ht="57.45" hidden="false" customHeight="false" outlineLevel="0" collapsed="false">
      <c r="A70" s="18" t="n">
        <v>94207</v>
      </c>
      <c r="B70" s="18" t="s">
        <v>104</v>
      </c>
      <c r="C70" s="18" t="s">
        <v>105</v>
      </c>
      <c r="D70" s="19" t="s">
        <v>23</v>
      </c>
      <c r="E70" s="20" t="n">
        <f aca="false">5.6*8.75</f>
        <v>49</v>
      </c>
      <c r="F70" s="16" t="n">
        <v>44.72</v>
      </c>
      <c r="G70" s="30" t="n">
        <f aca="false">F70*1.25</f>
        <v>55.9</v>
      </c>
      <c r="H70" s="30" t="n">
        <f aca="false">J70*0.6</f>
        <v>1643.46</v>
      </c>
      <c r="I70" s="30" t="n">
        <f aca="false">J70*0.4</f>
        <v>1095.64</v>
      </c>
      <c r="J70" s="16" t="n">
        <f aca="false">ROUND(E70,2)*(ROUND(G70,2))</f>
        <v>2739.1</v>
      </c>
    </row>
    <row r="71" customFormat="false" ht="35.05" hidden="false" customHeight="false" outlineLevel="0" collapsed="false">
      <c r="A71" s="18" t="n">
        <v>94223</v>
      </c>
      <c r="B71" s="18" t="s">
        <v>106</v>
      </c>
      <c r="C71" s="18" t="s">
        <v>107</v>
      </c>
      <c r="D71" s="19" t="s">
        <v>32</v>
      </c>
      <c r="E71" s="20" t="n">
        <v>5.6</v>
      </c>
      <c r="F71" s="16" t="n">
        <v>75.59</v>
      </c>
      <c r="G71" s="30" t="n">
        <f aca="false">F71*1.25</f>
        <v>94.4875</v>
      </c>
      <c r="H71" s="30" t="n">
        <f aca="false">J71*0.6</f>
        <v>317.4864</v>
      </c>
      <c r="I71" s="30" t="n">
        <f aca="false">J71*0.4</f>
        <v>211.6576</v>
      </c>
      <c r="J71" s="16" t="n">
        <f aca="false">ROUND(E71,2)*(ROUND(G71,2))</f>
        <v>529.144</v>
      </c>
    </row>
    <row r="72" customFormat="false" ht="13.8" hidden="false" customHeight="false" outlineLevel="0" collapsed="false">
      <c r="A72" s="22"/>
      <c r="B72" s="22"/>
      <c r="C72" s="22"/>
      <c r="D72" s="22"/>
      <c r="E72" s="22"/>
      <c r="F72" s="22"/>
      <c r="G72" s="22"/>
      <c r="H72" s="22"/>
      <c r="I72" s="23" t="s">
        <v>28</v>
      </c>
      <c r="J72" s="24" t="n">
        <f aca="false">SUM(J65:J71)</f>
        <v>22947.983</v>
      </c>
    </row>
    <row r="73" customFormat="false" ht="13.8" hidden="false" customHeight="false" outlineLevel="0" collapsed="false">
      <c r="A73" s="11" t="s">
        <v>108</v>
      </c>
      <c r="B73" s="11"/>
      <c r="C73" s="11"/>
      <c r="D73" s="11"/>
      <c r="E73" s="11"/>
      <c r="F73" s="11"/>
      <c r="G73" s="11"/>
      <c r="H73" s="11"/>
      <c r="I73" s="11"/>
      <c r="J73" s="11"/>
    </row>
    <row r="74" customFormat="false" ht="35.05" hidden="false" customHeight="false" outlineLevel="0" collapsed="false">
      <c r="A74" s="18" t="n">
        <v>96622</v>
      </c>
      <c r="B74" s="18" t="s">
        <v>109</v>
      </c>
      <c r="C74" s="18" t="s">
        <v>110</v>
      </c>
      <c r="D74" s="19" t="s">
        <v>35</v>
      </c>
      <c r="E74" s="20" t="n">
        <f aca="false">(19.88+19.88+4+4+4.3+4.3+1.2+1.2)*0.05</f>
        <v>2.938</v>
      </c>
      <c r="F74" s="16" t="n">
        <v>105.57</v>
      </c>
      <c r="G74" s="16" t="n">
        <f aca="false">F74*1.25</f>
        <v>131.9625</v>
      </c>
      <c r="H74" s="16" t="n">
        <f aca="false">J74*0.6</f>
        <v>232.77744</v>
      </c>
      <c r="I74" s="16" t="n">
        <f aca="false">J74*0.4</f>
        <v>155.18496</v>
      </c>
      <c r="J74" s="16" t="n">
        <f aca="false">ROUND(E74,2)*(ROUND(G74,2))</f>
        <v>387.9624</v>
      </c>
    </row>
    <row r="75" customFormat="false" ht="35.05" hidden="false" customHeight="false" outlineLevel="0" collapsed="false">
      <c r="A75" s="18" t="n">
        <v>87690</v>
      </c>
      <c r="B75" s="18" t="s">
        <v>111</v>
      </c>
      <c r="C75" s="18" t="s">
        <v>112</v>
      </c>
      <c r="D75" s="19" t="s">
        <v>23</v>
      </c>
      <c r="E75" s="20" t="n">
        <f aca="false">19.88+19.88+4+4+4.3+4.3+1.2+1.2</f>
        <v>58.76</v>
      </c>
      <c r="F75" s="16" t="n">
        <v>42.02</v>
      </c>
      <c r="G75" s="16" t="n">
        <f aca="false">F75*1.25</f>
        <v>52.525</v>
      </c>
      <c r="H75" s="16" t="n">
        <f aca="false">J75*0.6</f>
        <v>1851.99768</v>
      </c>
      <c r="I75" s="16" t="n">
        <f aca="false">J75*0.4</f>
        <v>1234.66512</v>
      </c>
      <c r="J75" s="16" t="n">
        <f aca="false">ROUND(E75,2)*(ROUND(G75,2))</f>
        <v>3086.6628</v>
      </c>
    </row>
    <row r="76" customFormat="false" ht="46.25" hidden="false" customHeight="false" outlineLevel="0" collapsed="false">
      <c r="A76" s="18" t="n">
        <v>87251</v>
      </c>
      <c r="B76" s="18" t="s">
        <v>113</v>
      </c>
      <c r="C76" s="18" t="s">
        <v>114</v>
      </c>
      <c r="D76" s="19" t="s">
        <v>23</v>
      </c>
      <c r="E76" s="20" t="n">
        <f aca="false">E75</f>
        <v>58.76</v>
      </c>
      <c r="F76" s="16" t="n">
        <v>43.45</v>
      </c>
      <c r="G76" s="16" t="n">
        <f aca="false">F76*1.25</f>
        <v>54.3125</v>
      </c>
      <c r="H76" s="16" t="n">
        <f aca="false">J76*0.6</f>
        <v>1914.75336</v>
      </c>
      <c r="I76" s="16" t="n">
        <f aca="false">J76*0.4</f>
        <v>1276.50224</v>
      </c>
      <c r="J76" s="16" t="n">
        <f aca="false">ROUND(E76,2)*(ROUND(G76,2))</f>
        <v>3191.2556</v>
      </c>
    </row>
    <row r="77" customFormat="false" ht="13.8" hidden="false" customHeight="false" outlineLevel="0" collapsed="false">
      <c r="A77" s="22"/>
      <c r="B77" s="22"/>
      <c r="C77" s="22"/>
      <c r="D77" s="22"/>
      <c r="E77" s="22"/>
      <c r="F77" s="22"/>
      <c r="G77" s="22"/>
      <c r="H77" s="22"/>
      <c r="I77" s="23" t="s">
        <v>28</v>
      </c>
      <c r="J77" s="24" t="n">
        <f aca="false">SUM(J74:J76)</f>
        <v>6665.8808</v>
      </c>
    </row>
    <row r="78" customFormat="false" ht="13.8" hidden="false" customHeight="false" outlineLevel="0" collapsed="false">
      <c r="A78" s="11" t="s">
        <v>115</v>
      </c>
      <c r="B78" s="11"/>
      <c r="C78" s="11"/>
      <c r="D78" s="11"/>
      <c r="E78" s="11"/>
      <c r="F78" s="11"/>
      <c r="G78" s="11"/>
      <c r="H78" s="11"/>
      <c r="I78" s="11"/>
      <c r="J78" s="11"/>
    </row>
    <row r="79" customFormat="false" ht="13.8" hidden="false" customHeight="false" outlineLevel="0" collapsed="false">
      <c r="A79" s="27" t="s">
        <v>116</v>
      </c>
      <c r="B79" s="27"/>
      <c r="C79" s="27"/>
      <c r="D79" s="27"/>
      <c r="E79" s="27"/>
      <c r="F79" s="27"/>
      <c r="G79" s="27"/>
      <c r="H79" s="27"/>
      <c r="I79" s="27"/>
      <c r="J79" s="27"/>
    </row>
    <row r="80" customFormat="false" ht="46.25" hidden="false" customHeight="false" outlineLevel="0" collapsed="false">
      <c r="A80" s="18" t="n">
        <v>87879</v>
      </c>
      <c r="B80" s="25" t="s">
        <v>117</v>
      </c>
      <c r="C80" s="18" t="s">
        <v>118</v>
      </c>
      <c r="D80" s="19" t="s">
        <v>23</v>
      </c>
      <c r="E80" s="20" t="n">
        <f aca="false">((((7.55+5.9+8.75+5.9+2+2+8.75+7.75)*2.8)+((5.6+5.6+(1.4*8)+0.65+0.65)*2))*2)+3.04</f>
        <v>370</v>
      </c>
      <c r="F80" s="16" t="n">
        <v>3.71</v>
      </c>
      <c r="G80" s="16" t="n">
        <f aca="false">F80*1.25</f>
        <v>4.6375</v>
      </c>
      <c r="H80" s="16" t="n">
        <f aca="false">J80*0.6</f>
        <v>1030.08</v>
      </c>
      <c r="I80" s="16" t="n">
        <f aca="false">J80*0.4</f>
        <v>686.72</v>
      </c>
      <c r="J80" s="16" t="n">
        <f aca="false">ROUND(E80,2)*(ROUND(G80,2))</f>
        <v>1716.8</v>
      </c>
    </row>
    <row r="81" customFormat="false" ht="68.65" hidden="false" customHeight="false" outlineLevel="0" collapsed="false">
      <c r="A81" s="18" t="n">
        <v>87529</v>
      </c>
      <c r="B81" s="25" t="s">
        <v>119</v>
      </c>
      <c r="C81" s="18" t="s">
        <v>120</v>
      </c>
      <c r="D81" s="19" t="s">
        <v>23</v>
      </c>
      <c r="E81" s="20" t="n">
        <f aca="false">E80</f>
        <v>370</v>
      </c>
      <c r="F81" s="16" t="n">
        <v>31.08</v>
      </c>
      <c r="G81" s="16" t="n">
        <f aca="false">F81*1.25</f>
        <v>38.85</v>
      </c>
      <c r="H81" s="16" t="n">
        <f aca="false">J81*0.6</f>
        <v>8624.7</v>
      </c>
      <c r="I81" s="16" t="n">
        <f aca="false">J81*0.4</f>
        <v>5749.8</v>
      </c>
      <c r="J81" s="16" t="n">
        <f aca="false">ROUND(E81,2)*(ROUND(G81,2))</f>
        <v>14374.5</v>
      </c>
    </row>
    <row r="82" customFormat="false" ht="57.45" hidden="false" customHeight="false" outlineLevel="0" collapsed="false">
      <c r="A82" s="18" t="n">
        <v>87273</v>
      </c>
      <c r="B82" s="25" t="s">
        <v>121</v>
      </c>
      <c r="C82" s="18" t="s">
        <v>122</v>
      </c>
      <c r="D82" s="19" t="s">
        <v>23</v>
      </c>
      <c r="E82" s="20" t="n">
        <f aca="false">((3.55+5.6+3.55+5.6)*2.8)+((5.6+5.6+1.4+1.4+1.4+1.4+1.4+1.4+1.4+1.4+0.65+0.65)*2)+((2+2+2+2)*2.8)+((3.55+5.6+3.55+5.6)*2.8)+((5.6+5.6+1.4+1.4+1.4+1.4+1.4+1.4+1.4+1.4+0.65+0.65)*2)+((2+2+2+2)*2.8)+2.92</f>
        <v>245</v>
      </c>
      <c r="F82" s="16" t="n">
        <v>57.61</v>
      </c>
      <c r="G82" s="16" t="n">
        <f aca="false">F82*1.25</f>
        <v>72.0125</v>
      </c>
      <c r="H82" s="16" t="n">
        <f aca="false">J82*0.6</f>
        <v>10585.47</v>
      </c>
      <c r="I82" s="16" t="n">
        <f aca="false">J82*0.4</f>
        <v>7056.98</v>
      </c>
      <c r="J82" s="16" t="n">
        <f aca="false">ROUND(E82,2)*(ROUND(G82,2))</f>
        <v>17642.45</v>
      </c>
    </row>
    <row r="83" customFormat="false" ht="35.05" hidden="false" customHeight="false" outlineLevel="0" collapsed="false">
      <c r="A83" s="18" t="s">
        <v>123</v>
      </c>
      <c r="B83" s="25" t="s">
        <v>124</v>
      </c>
      <c r="C83" s="18" t="s">
        <v>125</v>
      </c>
      <c r="D83" s="19" t="s">
        <v>23</v>
      </c>
      <c r="E83" s="20" t="n">
        <f aca="false">(7.55*2.8)+(5.9*2.8)+(8.75*2.8)+(5.9*2.8)+(2*2.8)+(2.15*2.8)+(2.15*2.8)+(2*2.8)+(2.15*2.8)+(2.15*2.8)+1.04</f>
        <v>115</v>
      </c>
      <c r="F83" s="16" t="n">
        <v>5.5</v>
      </c>
      <c r="G83" s="16" t="n">
        <f aca="false">F83*1.25</f>
        <v>6.875</v>
      </c>
      <c r="H83" s="16" t="n">
        <f aca="false">J83*0.6</f>
        <v>474.375</v>
      </c>
      <c r="I83" s="16" t="n">
        <f aca="false">J83*0.4</f>
        <v>316.25</v>
      </c>
      <c r="J83" s="16" t="n">
        <f aca="false">G83*E83</f>
        <v>790.625</v>
      </c>
    </row>
    <row r="84" customFormat="false" ht="13.8" hidden="false" customHeight="false" outlineLevel="0" collapsed="false">
      <c r="A84" s="27" t="s">
        <v>126</v>
      </c>
      <c r="B84" s="27"/>
      <c r="C84" s="27"/>
      <c r="D84" s="27"/>
      <c r="E84" s="27"/>
      <c r="F84" s="27"/>
      <c r="G84" s="27"/>
      <c r="H84" s="27"/>
      <c r="I84" s="27"/>
      <c r="J84" s="27"/>
    </row>
    <row r="85" customFormat="false" ht="35.05" hidden="false" customHeight="false" outlineLevel="0" collapsed="false">
      <c r="A85" s="18" t="n">
        <v>87884</v>
      </c>
      <c r="B85" s="17" t="s">
        <v>127</v>
      </c>
      <c r="C85" s="18" t="s">
        <v>128</v>
      </c>
      <c r="D85" s="19" t="s">
        <v>23</v>
      </c>
      <c r="E85" s="20" t="n">
        <f aca="false">E50</f>
        <v>70.4375</v>
      </c>
      <c r="F85" s="16" t="n">
        <v>6.88</v>
      </c>
      <c r="G85" s="16" t="n">
        <f aca="false">F85*1.25</f>
        <v>8.6</v>
      </c>
      <c r="H85" s="16" t="n">
        <f aca="false">J85*0.6</f>
        <v>363.4704</v>
      </c>
      <c r="I85" s="16" t="n">
        <f aca="false">J85*0.4</f>
        <v>242.3136</v>
      </c>
      <c r="J85" s="16" t="n">
        <f aca="false">ROUND(E85,2)*(ROUND(G85,2))</f>
        <v>605.784</v>
      </c>
    </row>
    <row r="86" customFormat="false" ht="57.45" hidden="false" customHeight="false" outlineLevel="0" collapsed="false">
      <c r="A86" s="18" t="n">
        <v>90408</v>
      </c>
      <c r="B86" s="17" t="s">
        <v>129</v>
      </c>
      <c r="C86" s="18" t="s">
        <v>130</v>
      </c>
      <c r="D86" s="19" t="s">
        <v>23</v>
      </c>
      <c r="E86" s="20" t="n">
        <f aca="false">E85</f>
        <v>70.4375</v>
      </c>
      <c r="F86" s="16" t="n">
        <v>29.33</v>
      </c>
      <c r="G86" s="16" t="n">
        <f aca="false">F86*1.25</f>
        <v>36.6625</v>
      </c>
      <c r="H86" s="16" t="n">
        <f aca="false">J86*0.6</f>
        <v>1549.39824</v>
      </c>
      <c r="I86" s="16" t="n">
        <f aca="false">J86*0.4</f>
        <v>1032.93216</v>
      </c>
      <c r="J86" s="16" t="n">
        <f aca="false">ROUND(E86,2)*(ROUND(G86,2))</f>
        <v>2582.3304</v>
      </c>
    </row>
    <row r="87" customFormat="false" ht="23.85" hidden="false" customHeight="false" outlineLevel="0" collapsed="false">
      <c r="A87" s="18" t="s">
        <v>123</v>
      </c>
      <c r="B87" s="17" t="s">
        <v>131</v>
      </c>
      <c r="C87" s="18" t="s">
        <v>132</v>
      </c>
      <c r="D87" s="19" t="s">
        <v>23</v>
      </c>
      <c r="E87" s="20" t="n">
        <f aca="false">E86</f>
        <v>70.4375</v>
      </c>
      <c r="F87" s="16" t="n">
        <v>5.5</v>
      </c>
      <c r="G87" s="16" t="n">
        <f aca="false">F87*1.25</f>
        <v>6.875</v>
      </c>
      <c r="H87" s="16" t="n">
        <f aca="false">J87*0.6</f>
        <v>290.77632</v>
      </c>
      <c r="I87" s="16" t="n">
        <f aca="false">J87*0.4</f>
        <v>193.85088</v>
      </c>
      <c r="J87" s="16" t="n">
        <f aca="false">ROUND(E87,2)*(ROUND(G87,2))</f>
        <v>484.6272</v>
      </c>
    </row>
    <row r="88" customFormat="false" ht="13.8" hidden="false" customHeight="false" outlineLevel="0" collapsed="false">
      <c r="A88" s="27" t="s">
        <v>133</v>
      </c>
      <c r="B88" s="27"/>
      <c r="C88" s="27"/>
      <c r="D88" s="27"/>
      <c r="E88" s="27"/>
      <c r="F88" s="27"/>
      <c r="G88" s="27"/>
      <c r="H88" s="27"/>
      <c r="I88" s="27"/>
      <c r="J88" s="27"/>
    </row>
    <row r="89" customFormat="false" ht="46.25" hidden="false" customHeight="false" outlineLevel="0" collapsed="false">
      <c r="A89" s="18" t="n">
        <v>87879</v>
      </c>
      <c r="B89" s="25" t="s">
        <v>134</v>
      </c>
      <c r="C89" s="18" t="s">
        <v>118</v>
      </c>
      <c r="D89" s="19" t="s">
        <v>23</v>
      </c>
      <c r="E89" s="20" t="n">
        <f aca="false">(8.75*1)+(7.55*1)</f>
        <v>16.3</v>
      </c>
      <c r="F89" s="16" t="n">
        <v>3.71</v>
      </c>
      <c r="G89" s="16" t="n">
        <f aca="false">F89*1.25</f>
        <v>4.6375</v>
      </c>
      <c r="H89" s="16" t="n">
        <f aca="false">J89*0.6</f>
        <v>45.3792</v>
      </c>
      <c r="I89" s="16" t="n">
        <f aca="false">J89*0.4</f>
        <v>30.2528</v>
      </c>
      <c r="J89" s="16" t="n">
        <f aca="false">ROUND(E89,2)*(ROUND(G89,2))</f>
        <v>75.632</v>
      </c>
    </row>
    <row r="90" customFormat="false" ht="68.65" hidden="false" customHeight="false" outlineLevel="0" collapsed="false">
      <c r="A90" s="18" t="n">
        <v>87529</v>
      </c>
      <c r="B90" s="25" t="s">
        <v>135</v>
      </c>
      <c r="C90" s="18" t="s">
        <v>120</v>
      </c>
      <c r="D90" s="19" t="s">
        <v>23</v>
      </c>
      <c r="E90" s="20" t="n">
        <f aca="false">E89</f>
        <v>16.3</v>
      </c>
      <c r="F90" s="16" t="n">
        <v>31.08</v>
      </c>
      <c r="G90" s="16" t="n">
        <f aca="false">F90*1.25</f>
        <v>38.85</v>
      </c>
      <c r="H90" s="16" t="n">
        <f aca="false">J90*0.6</f>
        <v>379.953</v>
      </c>
      <c r="I90" s="16" t="n">
        <f aca="false">J90*0.4</f>
        <v>253.302</v>
      </c>
      <c r="J90" s="16" t="n">
        <f aca="false">ROUND(E90,2)*(ROUND(G90,2))</f>
        <v>633.255</v>
      </c>
    </row>
    <row r="91" customFormat="false" ht="23.85" hidden="false" customHeight="false" outlineLevel="0" collapsed="false">
      <c r="A91" s="18" t="s">
        <v>123</v>
      </c>
      <c r="B91" s="25" t="s">
        <v>136</v>
      </c>
      <c r="C91" s="18" t="s">
        <v>137</v>
      </c>
      <c r="D91" s="19" t="s">
        <v>23</v>
      </c>
      <c r="E91" s="20" t="n">
        <f aca="false">E90</f>
        <v>16.3</v>
      </c>
      <c r="F91" s="16" t="n">
        <v>5.5</v>
      </c>
      <c r="G91" s="16" t="n">
        <f aca="false">F91*1.25</f>
        <v>6.875</v>
      </c>
      <c r="H91" s="16" t="n">
        <f aca="false">J91*0.6</f>
        <v>67.2864</v>
      </c>
      <c r="I91" s="16" t="n">
        <f aca="false">J91*0.4</f>
        <v>44.8576</v>
      </c>
      <c r="J91" s="16" t="n">
        <f aca="false">ROUND(E91,2)*(ROUND(G91,2))</f>
        <v>112.144</v>
      </c>
    </row>
    <row r="92" customFormat="false" ht="13.8" hidden="false" customHeight="false" outlineLevel="0" collapsed="false">
      <c r="A92" s="22"/>
      <c r="B92" s="22"/>
      <c r="C92" s="22"/>
      <c r="D92" s="22"/>
      <c r="E92" s="22"/>
      <c r="F92" s="22"/>
      <c r="G92" s="22"/>
      <c r="H92" s="22"/>
      <c r="I92" s="23" t="s">
        <v>28</v>
      </c>
      <c r="J92" s="24" t="n">
        <f aca="false">SUM(J80:J91)</f>
        <v>39018.1476</v>
      </c>
    </row>
    <row r="93" customFormat="false" ht="13.8" hidden="false" customHeight="false" outlineLevel="0" collapsed="false">
      <c r="A93" s="11" t="s">
        <v>138</v>
      </c>
      <c r="B93" s="11"/>
      <c r="C93" s="11"/>
      <c r="D93" s="11"/>
      <c r="E93" s="11"/>
      <c r="F93" s="11"/>
      <c r="G93" s="11"/>
      <c r="H93" s="11"/>
      <c r="I93" s="11"/>
      <c r="J93" s="11"/>
    </row>
    <row r="94" customFormat="false" ht="23.85" hidden="false" customHeight="false" outlineLevel="0" collapsed="false">
      <c r="A94" s="18" t="n">
        <v>100701</v>
      </c>
      <c r="B94" s="25" t="s">
        <v>139</v>
      </c>
      <c r="C94" s="18" t="s">
        <v>140</v>
      </c>
      <c r="D94" s="19" t="s">
        <v>23</v>
      </c>
      <c r="E94" s="20" t="n">
        <f aca="false">(0.9*2.1*4)+(0.7*1.8*10)</f>
        <v>20.16</v>
      </c>
      <c r="F94" s="16" t="n">
        <v>546.16</v>
      </c>
      <c r="G94" s="16" t="n">
        <f aca="false">F94*1.25</f>
        <v>682.7</v>
      </c>
      <c r="H94" s="16" t="n">
        <f aca="false">J94*0.6</f>
        <v>8257.9392</v>
      </c>
      <c r="I94" s="16" t="n">
        <f aca="false">J94*0.4</f>
        <v>5505.2928</v>
      </c>
      <c r="J94" s="16" t="n">
        <f aca="false">ROUND(E94,2)*(ROUND(G94,2))</f>
        <v>13763.232</v>
      </c>
    </row>
    <row r="95" customFormat="false" ht="35.05" hidden="false" customHeight="false" outlineLevel="0" collapsed="false">
      <c r="A95" s="18" t="n">
        <v>100709</v>
      </c>
      <c r="B95" s="25" t="s">
        <v>141</v>
      </c>
      <c r="C95" s="18" t="s">
        <v>142</v>
      </c>
      <c r="D95" s="19" t="s">
        <v>99</v>
      </c>
      <c r="E95" s="20" t="n">
        <f aca="false">3*14</f>
        <v>42</v>
      </c>
      <c r="F95" s="16" t="n">
        <v>44.65</v>
      </c>
      <c r="G95" s="16" t="n">
        <f aca="false">F95*1.25</f>
        <v>55.8125</v>
      </c>
      <c r="H95" s="16" t="n">
        <f aca="false">J95*0.6</f>
        <v>1406.412</v>
      </c>
      <c r="I95" s="16" t="n">
        <f aca="false">J95*0.4</f>
        <v>937.608</v>
      </c>
      <c r="J95" s="16" t="n">
        <f aca="false">ROUND(E95,2)*(ROUND(G95,2))</f>
        <v>2344.02</v>
      </c>
    </row>
    <row r="96" customFormat="false" ht="46.25" hidden="false" customHeight="false" outlineLevel="0" collapsed="false">
      <c r="A96" s="18" t="n">
        <v>90831</v>
      </c>
      <c r="B96" s="25" t="s">
        <v>143</v>
      </c>
      <c r="C96" s="18" t="s">
        <v>144</v>
      </c>
      <c r="D96" s="19" t="s">
        <v>99</v>
      </c>
      <c r="E96" s="20" t="n">
        <v>14</v>
      </c>
      <c r="F96" s="16" t="n">
        <v>146.53</v>
      </c>
      <c r="G96" s="16" t="n">
        <f aca="false">F96*1.25</f>
        <v>183.1625</v>
      </c>
      <c r="H96" s="16" t="n">
        <f aca="false">J96*0.6</f>
        <v>1538.544</v>
      </c>
      <c r="I96" s="16" t="n">
        <f aca="false">J96*0.4</f>
        <v>1025.696</v>
      </c>
      <c r="J96" s="16" t="n">
        <f aca="false">ROUND(E96,2)*(ROUND(G96,2))</f>
        <v>2564.24</v>
      </c>
    </row>
    <row r="97" customFormat="false" ht="57.45" hidden="false" customHeight="false" outlineLevel="0" collapsed="false">
      <c r="A97" s="18" t="n">
        <v>94559</v>
      </c>
      <c r="B97" s="25" t="s">
        <v>145</v>
      </c>
      <c r="C97" s="18" t="s">
        <v>146</v>
      </c>
      <c r="D97" s="19" t="s">
        <v>23</v>
      </c>
      <c r="E97" s="20" t="n">
        <f aca="false">(3.5*0.5*2)+(0.5*0.5*2)</f>
        <v>4</v>
      </c>
      <c r="F97" s="16" t="n">
        <v>795.99</v>
      </c>
      <c r="G97" s="16" t="n">
        <f aca="false">F97*1.25</f>
        <v>994.9875</v>
      </c>
      <c r="H97" s="16" t="n">
        <f aca="false">J97*0.6</f>
        <v>2387.976</v>
      </c>
      <c r="I97" s="16" t="n">
        <f aca="false">J97*0.4</f>
        <v>1591.984</v>
      </c>
      <c r="J97" s="16" t="n">
        <f aca="false">ROUND(E97,2)*(ROUND(G97,2))</f>
        <v>3979.96</v>
      </c>
    </row>
    <row r="98" customFormat="false" ht="13.8" hidden="false" customHeight="false" outlineLevel="0" collapsed="false">
      <c r="A98" s="18" t="n">
        <v>102161</v>
      </c>
      <c r="B98" s="25" t="s">
        <v>147</v>
      </c>
      <c r="C98" s="18" t="s">
        <v>148</v>
      </c>
      <c r="D98" s="19" t="s">
        <v>23</v>
      </c>
      <c r="E98" s="20" t="n">
        <f aca="false">(3.5*0.5*2)+(0.5*0.5*2)</f>
        <v>4</v>
      </c>
      <c r="F98" s="16" t="n">
        <v>219.87</v>
      </c>
      <c r="G98" s="16" t="n">
        <f aca="false">F98*1.25</f>
        <v>274.8375</v>
      </c>
      <c r="H98" s="16" t="n">
        <f aca="false">J98*0.6</f>
        <v>659.616</v>
      </c>
      <c r="I98" s="16" t="n">
        <f aca="false">J98*0.4</f>
        <v>439.744</v>
      </c>
      <c r="J98" s="16" t="n">
        <f aca="false">ROUND(E98,2)*(ROUND(G98,2))</f>
        <v>1099.36</v>
      </c>
    </row>
    <row r="99" customFormat="false" ht="23.85" hidden="false" customHeight="false" outlineLevel="0" collapsed="false">
      <c r="A99" s="18" t="n">
        <v>98689</v>
      </c>
      <c r="B99" s="25" t="s">
        <v>149</v>
      </c>
      <c r="C99" s="18" t="s">
        <v>150</v>
      </c>
      <c r="D99" s="20" t="s">
        <v>32</v>
      </c>
      <c r="E99" s="20" t="n">
        <f aca="false">3.5+3.5+0.5+0.5</f>
        <v>8</v>
      </c>
      <c r="F99" s="16" t="n">
        <v>91.83</v>
      </c>
      <c r="G99" s="32" t="n">
        <f aca="false">F99*1.25</f>
        <v>114.7875</v>
      </c>
      <c r="H99" s="16" t="n">
        <f aca="false">J99*0.6</f>
        <v>550.992</v>
      </c>
      <c r="I99" s="16" t="n">
        <f aca="false">J99*0.4</f>
        <v>367.328</v>
      </c>
      <c r="J99" s="16" t="n">
        <f aca="false">ROUND(E99,2)*(ROUND(G99,2))</f>
        <v>918.32</v>
      </c>
    </row>
    <row r="100" customFormat="false" ht="13.8" hidden="false" customHeight="false" outlineLevel="0" collapsed="false">
      <c r="A100" s="22"/>
      <c r="B100" s="22"/>
      <c r="C100" s="22"/>
      <c r="D100" s="22"/>
      <c r="E100" s="22"/>
      <c r="F100" s="22"/>
      <c r="G100" s="22"/>
      <c r="H100" s="22"/>
      <c r="I100" s="23" t="s">
        <v>28</v>
      </c>
      <c r="J100" s="24" t="n">
        <f aca="false">SUM(J94:J99)</f>
        <v>24669.132</v>
      </c>
    </row>
    <row r="101" customFormat="false" ht="13.8" hidden="false" customHeight="false" outlineLevel="0" collapsed="false">
      <c r="A101" s="11" t="s">
        <v>151</v>
      </c>
      <c r="B101" s="11"/>
      <c r="C101" s="11"/>
      <c r="D101" s="11"/>
      <c r="E101" s="11"/>
      <c r="F101" s="11"/>
      <c r="G101" s="11"/>
      <c r="H101" s="11"/>
      <c r="I101" s="11"/>
      <c r="J101" s="11"/>
    </row>
    <row r="102" customFormat="false" ht="13.8" hidden="false" customHeight="false" outlineLevel="0" collapsed="false">
      <c r="A102" s="17" t="n">
        <v>100718</v>
      </c>
      <c r="B102" s="25" t="s">
        <v>152</v>
      </c>
      <c r="C102" s="18" t="s">
        <v>153</v>
      </c>
      <c r="D102" s="20" t="s">
        <v>32</v>
      </c>
      <c r="E102" s="20" t="n">
        <v>200</v>
      </c>
      <c r="F102" s="16" t="n">
        <v>1.16</v>
      </c>
      <c r="G102" s="32" t="n">
        <f aca="false">F102*1.25</f>
        <v>1.45</v>
      </c>
      <c r="H102" s="16" t="n">
        <f aca="false">J102*0.6</f>
        <v>174</v>
      </c>
      <c r="I102" s="16" t="n">
        <f aca="false">J102*0.4</f>
        <v>116</v>
      </c>
      <c r="J102" s="16" t="n">
        <f aca="false">ROUND(E102,2)*(ROUND(G102,2))</f>
        <v>290</v>
      </c>
    </row>
    <row r="103" customFormat="false" ht="23.85" hidden="false" customHeight="false" outlineLevel="0" collapsed="false">
      <c r="A103" s="17" t="n">
        <v>88485</v>
      </c>
      <c r="B103" s="25" t="s">
        <v>154</v>
      </c>
      <c r="C103" s="18" t="s">
        <v>155</v>
      </c>
      <c r="D103" s="20" t="s">
        <v>23</v>
      </c>
      <c r="E103" s="33" t="n">
        <f aca="false">E91+E83+8.7</f>
        <v>140</v>
      </c>
      <c r="F103" s="16" t="n">
        <v>2.36</v>
      </c>
      <c r="G103" s="16" t="n">
        <f aca="false">F103*1.25</f>
        <v>2.95</v>
      </c>
      <c r="H103" s="16" t="n">
        <f aca="false">J103*0.6</f>
        <v>247.8</v>
      </c>
      <c r="I103" s="16" t="n">
        <f aca="false">J103*0.4</f>
        <v>165.2</v>
      </c>
      <c r="J103" s="16" t="n">
        <f aca="false">ROUND(E103,2)*(ROUND(G103,2))</f>
        <v>413</v>
      </c>
    </row>
    <row r="104" customFormat="false" ht="23.85" hidden="false" customHeight="false" outlineLevel="0" collapsed="false">
      <c r="A104" s="17" t="n">
        <v>88489</v>
      </c>
      <c r="B104" s="25" t="s">
        <v>156</v>
      </c>
      <c r="C104" s="18" t="s">
        <v>157</v>
      </c>
      <c r="D104" s="20" t="s">
        <v>23</v>
      </c>
      <c r="E104" s="20" t="n">
        <f aca="false">E103</f>
        <v>140</v>
      </c>
      <c r="F104" s="16" t="n">
        <v>14.63</v>
      </c>
      <c r="G104" s="32" t="n">
        <f aca="false">F104*1.25</f>
        <v>18.2875</v>
      </c>
      <c r="H104" s="16" t="n">
        <f aca="false">J104*0.6</f>
        <v>1536.36</v>
      </c>
      <c r="I104" s="16" t="n">
        <f aca="false">J104*0.4</f>
        <v>1024.24</v>
      </c>
      <c r="J104" s="16" t="n">
        <f aca="false">ROUND(E104,2)*(ROUND(G104,2))</f>
        <v>2560.6</v>
      </c>
    </row>
    <row r="105" customFormat="false" ht="23.85" hidden="false" customHeight="false" outlineLevel="0" collapsed="false">
      <c r="A105" s="17" t="n">
        <v>88484</v>
      </c>
      <c r="B105" s="25" t="s">
        <v>158</v>
      </c>
      <c r="C105" s="18" t="s">
        <v>159</v>
      </c>
      <c r="D105" s="20" t="s">
        <v>23</v>
      </c>
      <c r="E105" s="20" t="n">
        <f aca="false">E85</f>
        <v>70.4375</v>
      </c>
      <c r="F105" s="16" t="n">
        <v>2.73</v>
      </c>
      <c r="G105" s="32" t="n">
        <f aca="false">F105*1.25</f>
        <v>3.4125</v>
      </c>
      <c r="H105" s="16" t="n">
        <f aca="false">J105*0.6</f>
        <v>144.12024</v>
      </c>
      <c r="I105" s="16" t="n">
        <f aca="false">J105*0.4</f>
        <v>96.08016</v>
      </c>
      <c r="J105" s="16" t="n">
        <f aca="false">ROUND(E105,2)*(ROUND(G105,2))</f>
        <v>240.2004</v>
      </c>
    </row>
    <row r="106" customFormat="false" ht="23.85" hidden="false" customHeight="false" outlineLevel="0" collapsed="false">
      <c r="A106" s="17" t="n">
        <v>88488</v>
      </c>
      <c r="B106" s="25" t="s">
        <v>160</v>
      </c>
      <c r="C106" s="18" t="s">
        <v>161</v>
      </c>
      <c r="D106" s="20" t="s">
        <v>23</v>
      </c>
      <c r="E106" s="20" t="n">
        <f aca="false">E86</f>
        <v>70.4375</v>
      </c>
      <c r="F106" s="16" t="n">
        <v>16.37</v>
      </c>
      <c r="G106" s="32" t="n">
        <f aca="false">F106*1.25</f>
        <v>20.4625</v>
      </c>
      <c r="H106" s="16" t="n">
        <f aca="false">J106*0.6</f>
        <v>864.72144</v>
      </c>
      <c r="I106" s="16" t="n">
        <f aca="false">J106*0.4</f>
        <v>576.48096</v>
      </c>
      <c r="J106" s="16" t="n">
        <f aca="false">ROUND(E106,2)*(ROUND(G106,2))</f>
        <v>1441.2024</v>
      </c>
    </row>
    <row r="107" customFormat="false" ht="46.25" hidden="false" customHeight="false" outlineLevel="0" collapsed="false">
      <c r="A107" s="17" t="n">
        <v>100735</v>
      </c>
      <c r="B107" s="25" t="s">
        <v>162</v>
      </c>
      <c r="C107" s="18" t="s">
        <v>163</v>
      </c>
      <c r="D107" s="20" t="s">
        <v>23</v>
      </c>
      <c r="E107" s="20" t="n">
        <f aca="false">(E94+E97)*2</f>
        <v>48.32</v>
      </c>
      <c r="F107" s="16" t="n">
        <v>9.27</v>
      </c>
      <c r="G107" s="32" t="n">
        <f aca="false">F107*1.25</f>
        <v>11.5875</v>
      </c>
      <c r="H107" s="16" t="n">
        <f aca="false">J107*0.6</f>
        <v>336.01728</v>
      </c>
      <c r="I107" s="16" t="n">
        <f aca="false">J107*0.4</f>
        <v>224.01152</v>
      </c>
      <c r="J107" s="16" t="n">
        <f aca="false">ROUND(E107,2)*(ROUND(G107,2))</f>
        <v>560.0288</v>
      </c>
    </row>
    <row r="108" customFormat="false" ht="13.8" hidden="false" customHeight="false" outlineLevel="0" collapsed="false">
      <c r="A108" s="22"/>
      <c r="B108" s="22"/>
      <c r="C108" s="22"/>
      <c r="D108" s="22"/>
      <c r="E108" s="22"/>
      <c r="F108" s="22"/>
      <c r="G108" s="22"/>
      <c r="H108" s="22"/>
      <c r="I108" s="23" t="s">
        <v>28</v>
      </c>
      <c r="J108" s="24" t="n">
        <f aca="false">SUM(J102:J107)</f>
        <v>5505.0316</v>
      </c>
    </row>
    <row r="109" customFormat="false" ht="13.8" hidden="false" customHeight="false" outlineLevel="0" collapsed="false">
      <c r="A109" s="11" t="s">
        <v>164</v>
      </c>
      <c r="B109" s="11"/>
      <c r="C109" s="11"/>
      <c r="D109" s="11"/>
      <c r="E109" s="11"/>
      <c r="F109" s="11"/>
      <c r="G109" s="11"/>
      <c r="H109" s="11"/>
      <c r="I109" s="11"/>
      <c r="J109" s="11"/>
    </row>
    <row r="110" customFormat="false" ht="35.05" hidden="false" customHeight="false" outlineLevel="0" collapsed="false">
      <c r="A110" s="34" t="n">
        <v>95471</v>
      </c>
      <c r="B110" s="35" t="s">
        <v>165</v>
      </c>
      <c r="C110" s="35" t="s">
        <v>166</v>
      </c>
      <c r="D110" s="36" t="s">
        <v>99</v>
      </c>
      <c r="E110" s="36" t="n">
        <v>2</v>
      </c>
      <c r="F110" s="16" t="n">
        <v>691.23</v>
      </c>
      <c r="G110" s="37" t="n">
        <f aca="false">(F110*1.25)</f>
        <v>864.0375</v>
      </c>
      <c r="H110" s="38" t="n">
        <f aca="false">J110*0.6</f>
        <v>1036.848</v>
      </c>
      <c r="I110" s="38" t="n">
        <f aca="false">J110*0.4</f>
        <v>691.232</v>
      </c>
      <c r="J110" s="38" t="n">
        <f aca="false">ROUND(E110,2)*(ROUND(G110,2))</f>
        <v>1728.08</v>
      </c>
    </row>
    <row r="111" customFormat="false" ht="35.05" hidden="false" customHeight="false" outlineLevel="0" collapsed="false">
      <c r="A111" s="34" t="n">
        <v>100878</v>
      </c>
      <c r="B111" s="35" t="s">
        <v>167</v>
      </c>
      <c r="C111" s="18" t="s">
        <v>168</v>
      </c>
      <c r="D111" s="19" t="s">
        <v>99</v>
      </c>
      <c r="E111" s="20" t="n">
        <v>9</v>
      </c>
      <c r="F111" s="16" t="n">
        <v>591.01</v>
      </c>
      <c r="G111" s="16" t="n">
        <f aca="false">F111*1.25</f>
        <v>738.7625</v>
      </c>
      <c r="H111" s="16" t="n">
        <f aca="false">J111*0.6</f>
        <v>3989.304</v>
      </c>
      <c r="I111" s="16" t="n">
        <f aca="false">J111*0.4</f>
        <v>2659.536</v>
      </c>
      <c r="J111" s="16" t="n">
        <f aca="false">ROUND(E111,2)*(ROUND(G111,2))</f>
        <v>6648.84</v>
      </c>
    </row>
    <row r="112" customFormat="false" ht="23.85" hidden="false" customHeight="false" outlineLevel="0" collapsed="false">
      <c r="A112" s="34" t="n">
        <v>86885</v>
      </c>
      <c r="B112" s="35" t="s">
        <v>169</v>
      </c>
      <c r="C112" s="35" t="s">
        <v>170</v>
      </c>
      <c r="D112" s="36" t="s">
        <v>99</v>
      </c>
      <c r="E112" s="36" t="n">
        <v>11</v>
      </c>
      <c r="F112" s="16" t="n">
        <v>13.4</v>
      </c>
      <c r="G112" s="37" t="n">
        <f aca="false">(F112*1.25)</f>
        <v>16.75</v>
      </c>
      <c r="H112" s="38" t="n">
        <f aca="false">J112*0.6</f>
        <v>110.55</v>
      </c>
      <c r="I112" s="38" t="n">
        <f aca="false">J112*0.4</f>
        <v>73.7</v>
      </c>
      <c r="J112" s="38" t="n">
        <f aca="false">ROUND(E112,2)*(ROUND(G112,2))</f>
        <v>184.25</v>
      </c>
    </row>
    <row r="113" customFormat="false" ht="23.85" hidden="false" customHeight="false" outlineLevel="0" collapsed="false">
      <c r="A113" s="17" t="n">
        <v>100849</v>
      </c>
      <c r="B113" s="35" t="s">
        <v>171</v>
      </c>
      <c r="C113" s="18" t="s">
        <v>172</v>
      </c>
      <c r="D113" s="19" t="s">
        <v>99</v>
      </c>
      <c r="E113" s="20" t="n">
        <v>11</v>
      </c>
      <c r="F113" s="16" t="n">
        <v>47.23</v>
      </c>
      <c r="G113" s="16" t="n">
        <f aca="false">F113*1.25</f>
        <v>59.0375</v>
      </c>
      <c r="H113" s="16" t="n">
        <f aca="false">J113*0.6</f>
        <v>389.664</v>
      </c>
      <c r="I113" s="16" t="n">
        <f aca="false">J113*0.4</f>
        <v>259.776</v>
      </c>
      <c r="J113" s="16" t="n">
        <f aca="false">ROUND(E113,2)*(ROUND(G113,2))</f>
        <v>649.44</v>
      </c>
    </row>
    <row r="114" customFormat="false" ht="23.85" hidden="false" customHeight="false" outlineLevel="0" collapsed="false">
      <c r="A114" s="17" t="n">
        <v>95544</v>
      </c>
      <c r="B114" s="35" t="s">
        <v>173</v>
      </c>
      <c r="C114" s="18" t="s">
        <v>174</v>
      </c>
      <c r="D114" s="19" t="s">
        <v>99</v>
      </c>
      <c r="E114" s="20" t="n">
        <v>11</v>
      </c>
      <c r="F114" s="16" t="n">
        <v>72.31</v>
      </c>
      <c r="G114" s="16" t="n">
        <f aca="false">F114*1.25</f>
        <v>90.3875</v>
      </c>
      <c r="H114" s="16" t="n">
        <f aca="false">J114*0.6</f>
        <v>596.574</v>
      </c>
      <c r="I114" s="16" t="n">
        <f aca="false">J114*0.4</f>
        <v>397.716</v>
      </c>
      <c r="J114" s="16" t="n">
        <f aca="false">ROUND(E114,2)*(ROUND(G114,2))</f>
        <v>994.29</v>
      </c>
    </row>
    <row r="115" customFormat="false" ht="35.05" hidden="false" customHeight="false" outlineLevel="0" collapsed="false">
      <c r="A115" s="17" t="n">
        <v>95547</v>
      </c>
      <c r="B115" s="35" t="s">
        <v>175</v>
      </c>
      <c r="C115" s="18" t="s">
        <v>176</v>
      </c>
      <c r="D115" s="19" t="s">
        <v>99</v>
      </c>
      <c r="E115" s="20" t="n">
        <v>6</v>
      </c>
      <c r="F115" s="16" t="n">
        <v>49.89</v>
      </c>
      <c r="G115" s="16" t="n">
        <f aca="false">F115*1.25</f>
        <v>62.3625</v>
      </c>
      <c r="H115" s="16" t="n">
        <f aca="false">J115*0.6</f>
        <v>224.496</v>
      </c>
      <c r="I115" s="16" t="n">
        <f aca="false">J115*0.4</f>
        <v>149.664</v>
      </c>
      <c r="J115" s="16" t="n">
        <f aca="false">ROUND(E115,2)*(ROUND(G115,2))</f>
        <v>374.16</v>
      </c>
    </row>
    <row r="116" customFormat="false" ht="23.85" hidden="false" customHeight="false" outlineLevel="0" collapsed="false">
      <c r="A116" s="17" t="s">
        <v>177</v>
      </c>
      <c r="B116" s="35" t="s">
        <v>178</v>
      </c>
      <c r="C116" s="18" t="s">
        <v>179</v>
      </c>
      <c r="D116" s="19" t="s">
        <v>99</v>
      </c>
      <c r="E116" s="20" t="n">
        <v>6</v>
      </c>
      <c r="F116" s="16" t="n">
        <v>42.66</v>
      </c>
      <c r="G116" s="16" t="n">
        <f aca="false">F116*1.25</f>
        <v>53.325</v>
      </c>
      <c r="H116" s="16" t="n">
        <f aca="false">J116*0.6</f>
        <v>191.988</v>
      </c>
      <c r="I116" s="16" t="n">
        <f aca="false">J116*0.4</f>
        <v>127.992</v>
      </c>
      <c r="J116" s="16" t="n">
        <f aca="false">ROUND(E116,2)*(ROUND(G116,2))</f>
        <v>319.98</v>
      </c>
    </row>
    <row r="117" customFormat="false" ht="35.05" hidden="false" customHeight="false" outlineLevel="0" collapsed="false">
      <c r="A117" s="17" t="n">
        <v>100868</v>
      </c>
      <c r="B117" s="35" t="s">
        <v>180</v>
      </c>
      <c r="C117" s="18" t="s">
        <v>181</v>
      </c>
      <c r="D117" s="19" t="s">
        <v>99</v>
      </c>
      <c r="E117" s="20" t="n">
        <v>4</v>
      </c>
      <c r="F117" s="16" t="n">
        <v>389.09</v>
      </c>
      <c r="G117" s="16" t="n">
        <f aca="false">F117*1.25</f>
        <v>486.3625</v>
      </c>
      <c r="H117" s="16" t="n">
        <f aca="false">J117*0.6</f>
        <v>1167.264</v>
      </c>
      <c r="I117" s="16" t="n">
        <f aca="false">J117*0.4</f>
        <v>778.176</v>
      </c>
      <c r="J117" s="16" t="n">
        <f aca="false">ROUND(E117,2)*(ROUND(G117,2))</f>
        <v>1945.44</v>
      </c>
    </row>
    <row r="118" customFormat="false" ht="68.65" hidden="false" customHeight="false" outlineLevel="0" collapsed="false">
      <c r="A118" s="17" t="n">
        <v>86943</v>
      </c>
      <c r="B118" s="35" t="s">
        <v>182</v>
      </c>
      <c r="C118" s="18" t="s">
        <v>183</v>
      </c>
      <c r="D118" s="19" t="s">
        <v>99</v>
      </c>
      <c r="E118" s="20" t="n">
        <v>2</v>
      </c>
      <c r="F118" s="16" t="n">
        <v>268.84</v>
      </c>
      <c r="G118" s="16" t="n">
        <f aca="false">F118*1.25</f>
        <v>336.05</v>
      </c>
      <c r="H118" s="16" t="n">
        <f aca="false">J118*0.6</f>
        <v>403.26</v>
      </c>
      <c r="I118" s="16" t="n">
        <f aca="false">J118*0.4</f>
        <v>268.84</v>
      </c>
      <c r="J118" s="16" t="n">
        <f aca="false">ROUND(E118,2)*(ROUND(G118,2))</f>
        <v>672.1</v>
      </c>
    </row>
    <row r="119" customFormat="false" ht="35.05" hidden="false" customHeight="false" outlineLevel="0" collapsed="false">
      <c r="A119" s="17" t="s">
        <v>184</v>
      </c>
      <c r="B119" s="35" t="s">
        <v>185</v>
      </c>
      <c r="C119" s="18" t="s">
        <v>186</v>
      </c>
      <c r="D119" s="19" t="s">
        <v>23</v>
      </c>
      <c r="E119" s="20" t="n">
        <f aca="false">(3.4*0.5)+(1.1*0.65)+(2.3*0.5)</f>
        <v>3.565</v>
      </c>
      <c r="F119" s="16" t="n">
        <v>516.52</v>
      </c>
      <c r="G119" s="16" t="n">
        <f aca="false">F119*1.25</f>
        <v>645.65</v>
      </c>
      <c r="H119" s="16" t="n">
        <f aca="false">J119*0.6</f>
        <v>1382.9823</v>
      </c>
      <c r="I119" s="16" t="n">
        <f aca="false">J119*0.4</f>
        <v>921.9882</v>
      </c>
      <c r="J119" s="16" t="n">
        <f aca="false">ROUND(E119,2)*(ROUND(G119,2))</f>
        <v>2304.9705</v>
      </c>
    </row>
    <row r="120" customFormat="false" ht="46.25" hidden="false" customHeight="false" outlineLevel="0" collapsed="false">
      <c r="A120" s="17" t="n">
        <v>86937</v>
      </c>
      <c r="B120" s="35" t="s">
        <v>187</v>
      </c>
      <c r="C120" s="18" t="s">
        <v>188</v>
      </c>
      <c r="D120" s="19" t="s">
        <v>99</v>
      </c>
      <c r="E120" s="20" t="n">
        <v>8</v>
      </c>
      <c r="F120" s="16" t="n">
        <v>237</v>
      </c>
      <c r="G120" s="16" t="n">
        <f aca="false">F120*1.25</f>
        <v>296.25</v>
      </c>
      <c r="H120" s="16" t="n">
        <f aca="false">J120*0.6</f>
        <v>1422</v>
      </c>
      <c r="I120" s="16" t="n">
        <f aca="false">J120*0.4</f>
        <v>948</v>
      </c>
      <c r="J120" s="16" t="n">
        <f aca="false">ROUND(E120,2)*(ROUND(G120,2))</f>
        <v>2370</v>
      </c>
    </row>
    <row r="121" customFormat="false" ht="35.05" hidden="false" customHeight="false" outlineLevel="0" collapsed="false">
      <c r="A121" s="17" t="n">
        <v>86915</v>
      </c>
      <c r="B121" s="35" t="s">
        <v>189</v>
      </c>
      <c r="C121" s="18" t="s">
        <v>190</v>
      </c>
      <c r="D121" s="19" t="s">
        <v>99</v>
      </c>
      <c r="E121" s="20" t="n">
        <v>8</v>
      </c>
      <c r="F121" s="16" t="n">
        <v>199.67</v>
      </c>
      <c r="G121" s="16" t="n">
        <f aca="false">F121*1.25</f>
        <v>249.5875</v>
      </c>
      <c r="H121" s="16" t="n">
        <f aca="false">J121*0.6</f>
        <v>1198.032</v>
      </c>
      <c r="I121" s="16" t="n">
        <f aca="false">J121*0.4</f>
        <v>798.688</v>
      </c>
      <c r="J121" s="16" t="n">
        <f aca="false">ROUND(E121,2)*(ROUND(G121,2))</f>
        <v>1996.72</v>
      </c>
    </row>
    <row r="122" customFormat="false" ht="23.85" hidden="false" customHeight="false" outlineLevel="0" collapsed="false">
      <c r="A122" s="17" t="s">
        <v>191</v>
      </c>
      <c r="B122" s="35" t="s">
        <v>192</v>
      </c>
      <c r="C122" s="18" t="s">
        <v>193</v>
      </c>
      <c r="D122" s="19" t="s">
        <v>99</v>
      </c>
      <c r="E122" s="20" t="n">
        <v>9</v>
      </c>
      <c r="F122" s="16" t="n">
        <f aca="false">32.08+(32.08*0.4)</f>
        <v>44.912</v>
      </c>
      <c r="G122" s="16" t="n">
        <f aca="false">F122*1.25</f>
        <v>56.14</v>
      </c>
      <c r="H122" s="16" t="n">
        <f aca="false">J122*0.6</f>
        <v>303.156</v>
      </c>
      <c r="I122" s="16" t="n">
        <f aca="false">J122*0.4</f>
        <v>202.104</v>
      </c>
      <c r="J122" s="16" t="n">
        <f aca="false">ROUND(E122,2)*(ROUND(G122,2))</f>
        <v>505.26</v>
      </c>
    </row>
    <row r="123" customFormat="false" ht="35.05" hidden="false" customHeight="false" outlineLevel="0" collapsed="false">
      <c r="A123" s="17" t="s">
        <v>194</v>
      </c>
      <c r="B123" s="35" t="s">
        <v>195</v>
      </c>
      <c r="C123" s="18" t="s">
        <v>196</v>
      </c>
      <c r="D123" s="19" t="s">
        <v>99</v>
      </c>
      <c r="E123" s="20" t="n">
        <v>8</v>
      </c>
      <c r="F123" s="16" t="n">
        <v>15.83</v>
      </c>
      <c r="G123" s="16" t="n">
        <f aca="false">F123*1.25</f>
        <v>19.7875</v>
      </c>
      <c r="H123" s="16" t="n">
        <f aca="false">J123*0.6</f>
        <v>94.992</v>
      </c>
      <c r="I123" s="16" t="n">
        <f aca="false">J123*0.4</f>
        <v>63.328</v>
      </c>
      <c r="J123" s="16" t="n">
        <f aca="false">ROUND(E123,2)*(ROUND(G123,2))</f>
        <v>158.32</v>
      </c>
    </row>
    <row r="124" customFormat="false" ht="23.85" hidden="false" customHeight="false" outlineLevel="0" collapsed="false">
      <c r="A124" s="17" t="n">
        <v>11697</v>
      </c>
      <c r="B124" s="35" t="s">
        <v>197</v>
      </c>
      <c r="C124" s="18" t="s">
        <v>198</v>
      </c>
      <c r="D124" s="19" t="s">
        <v>99</v>
      </c>
      <c r="E124" s="20" t="n">
        <v>2.5</v>
      </c>
      <c r="F124" s="16" t="n">
        <v>773.22</v>
      </c>
      <c r="G124" s="16" t="n">
        <f aca="false">F124*1.25</f>
        <v>966.525</v>
      </c>
      <c r="H124" s="16" t="n">
        <f aca="false">J124*0.6</f>
        <v>1449.795</v>
      </c>
      <c r="I124" s="16" t="n">
        <f aca="false">J124*0.4</f>
        <v>966.53</v>
      </c>
      <c r="J124" s="16" t="n">
        <f aca="false">ROUND(E124,2)*(ROUND(G124,2))</f>
        <v>2416.325</v>
      </c>
    </row>
    <row r="125" customFormat="false" ht="13.8" hidden="false" customHeight="false" outlineLevel="0" collapsed="false">
      <c r="A125" s="22"/>
      <c r="B125" s="22"/>
      <c r="C125" s="22"/>
      <c r="D125" s="22"/>
      <c r="E125" s="22"/>
      <c r="F125" s="22"/>
      <c r="G125" s="22"/>
      <c r="H125" s="22"/>
      <c r="I125" s="23" t="s">
        <v>28</v>
      </c>
      <c r="J125" s="24" t="n">
        <f aca="false">SUM(J110:J124)</f>
        <v>23268.1755</v>
      </c>
    </row>
    <row r="126" customFormat="false" ht="13.8" hidden="false" customHeight="false" outlineLevel="0" collapsed="false">
      <c r="A126" s="11" t="s">
        <v>199</v>
      </c>
      <c r="B126" s="11"/>
      <c r="C126" s="11"/>
      <c r="D126" s="11"/>
      <c r="E126" s="11"/>
      <c r="F126" s="11"/>
      <c r="G126" s="11"/>
      <c r="H126" s="11"/>
      <c r="I126" s="11"/>
      <c r="J126" s="11"/>
    </row>
    <row r="127" customFormat="false" ht="68.65" hidden="false" customHeight="false" outlineLevel="0" collapsed="false">
      <c r="A127" s="39" t="n">
        <v>91793</v>
      </c>
      <c r="B127" s="25" t="s">
        <v>200</v>
      </c>
      <c r="C127" s="26" t="s">
        <v>201</v>
      </c>
      <c r="D127" s="19" t="s">
        <v>32</v>
      </c>
      <c r="E127" s="19" t="n">
        <f aca="false">3.55+2.6+1.5+1+1+2.6+2.75</f>
        <v>15</v>
      </c>
      <c r="F127" s="16" t="n">
        <v>87.73</v>
      </c>
      <c r="G127" s="16" t="n">
        <f aca="false">F127*1.25</f>
        <v>109.6625</v>
      </c>
      <c r="H127" s="16" t="n">
        <f aca="false">J127*0.6</f>
        <v>986.94</v>
      </c>
      <c r="I127" s="16" t="n">
        <f aca="false">J127*0.4</f>
        <v>657.96</v>
      </c>
      <c r="J127" s="16" t="n">
        <f aca="false">ROUND(E127,2)*(ROUND(G127,2))</f>
        <v>1644.9</v>
      </c>
    </row>
    <row r="128" customFormat="false" ht="68.65" hidden="false" customHeight="false" outlineLevel="0" collapsed="false">
      <c r="A128" s="39" t="n">
        <v>91795</v>
      </c>
      <c r="B128" s="25" t="s">
        <v>202</v>
      </c>
      <c r="C128" s="26" t="s">
        <v>203</v>
      </c>
      <c r="D128" s="19" t="s">
        <v>32</v>
      </c>
      <c r="E128" s="19" t="n">
        <f aca="false">8.75+0.75+0.75+0.75+0.75+0.75+8.75+0.75+0.75+0.75+0.75+0.75+0.75+(0.25)</f>
        <v>26</v>
      </c>
      <c r="F128" s="16" t="n">
        <v>73.45</v>
      </c>
      <c r="G128" s="16" t="n">
        <f aca="false">F128*1.25</f>
        <v>91.8125</v>
      </c>
      <c r="H128" s="16" t="n">
        <f aca="false">J128*0.6</f>
        <v>1432.236</v>
      </c>
      <c r="I128" s="16" t="n">
        <f aca="false">J128*0.4</f>
        <v>954.824</v>
      </c>
      <c r="J128" s="16" t="n">
        <f aca="false">ROUND(E128,2)*(ROUND(G128,2))</f>
        <v>2387.06</v>
      </c>
    </row>
    <row r="129" customFormat="false" ht="68.65" hidden="false" customHeight="false" outlineLevel="0" collapsed="false">
      <c r="A129" s="39" t="n">
        <v>91796</v>
      </c>
      <c r="B129" s="25" t="s">
        <v>204</v>
      </c>
      <c r="C129" s="26" t="s">
        <v>205</v>
      </c>
      <c r="D129" s="19" t="s">
        <v>32</v>
      </c>
      <c r="E129" s="19" t="n">
        <f aca="false">1.15+4.9+1+0.5+0.5+(0.95)</f>
        <v>9</v>
      </c>
      <c r="F129" s="16" t="n">
        <v>83.83</v>
      </c>
      <c r="G129" s="16" t="n">
        <f aca="false">F129*1.25</f>
        <v>104.7875</v>
      </c>
      <c r="H129" s="16" t="n">
        <f aca="false">J129*0.6</f>
        <v>565.866</v>
      </c>
      <c r="I129" s="16" t="n">
        <f aca="false">J129*0.4</f>
        <v>377.244</v>
      </c>
      <c r="J129" s="16" t="n">
        <f aca="false">ROUND(E129,2)*(ROUND(G129,2))</f>
        <v>943.11</v>
      </c>
    </row>
    <row r="130" customFormat="false" ht="23.85" hidden="false" customHeight="false" outlineLevel="0" collapsed="false">
      <c r="A130" s="39" t="n">
        <v>93358</v>
      </c>
      <c r="B130" s="25" t="s">
        <v>206</v>
      </c>
      <c r="C130" s="26" t="s">
        <v>207</v>
      </c>
      <c r="D130" s="19" t="s">
        <v>35</v>
      </c>
      <c r="E130" s="19" t="n">
        <f aca="false">(12*0.3*0.5)</f>
        <v>1.8</v>
      </c>
      <c r="F130" s="16" t="n">
        <v>74.53</v>
      </c>
      <c r="G130" s="16" t="n">
        <f aca="false">F130*1.25</f>
        <v>93.1625</v>
      </c>
      <c r="H130" s="16" t="n">
        <f aca="false">J130*0.6</f>
        <v>100.6128</v>
      </c>
      <c r="I130" s="16" t="n">
        <f aca="false">J130*0.4</f>
        <v>67.0752</v>
      </c>
      <c r="J130" s="16" t="n">
        <f aca="false">ROUND(E130,2)*(ROUND(G130,2))</f>
        <v>167.688</v>
      </c>
    </row>
    <row r="131" customFormat="false" ht="13.8" hidden="false" customHeight="false" outlineLevel="0" collapsed="false">
      <c r="A131" s="39" t="n">
        <v>96995</v>
      </c>
      <c r="B131" s="25" t="s">
        <v>208</v>
      </c>
      <c r="C131" s="26" t="s">
        <v>39</v>
      </c>
      <c r="D131" s="19" t="s">
        <v>35</v>
      </c>
      <c r="E131" s="19" t="n">
        <v>0.8</v>
      </c>
      <c r="F131" s="16" t="n">
        <v>45.18</v>
      </c>
      <c r="G131" s="16" t="n">
        <f aca="false">F131*1.25</f>
        <v>56.475</v>
      </c>
      <c r="H131" s="16" t="n">
        <f aca="false">J131*0.6</f>
        <v>27.1104</v>
      </c>
      <c r="I131" s="16" t="n">
        <f aca="false">J131*0.4</f>
        <v>18.0736</v>
      </c>
      <c r="J131" s="16" t="n">
        <f aca="false">ROUND(E131,2)*(ROUND(G131,2))</f>
        <v>45.184</v>
      </c>
    </row>
    <row r="132" customFormat="false" ht="46.25" hidden="false" customHeight="false" outlineLevel="0" collapsed="false">
      <c r="A132" s="39" t="n">
        <v>89707</v>
      </c>
      <c r="B132" s="25" t="s">
        <v>209</v>
      </c>
      <c r="C132" s="26" t="s">
        <v>210</v>
      </c>
      <c r="D132" s="19" t="s">
        <v>99</v>
      </c>
      <c r="E132" s="19" t="n">
        <v>6</v>
      </c>
      <c r="F132" s="16" t="n">
        <v>42.97</v>
      </c>
      <c r="G132" s="16" t="n">
        <f aca="false">F132*1.25</f>
        <v>53.7125</v>
      </c>
      <c r="H132" s="16" t="n">
        <f aca="false">J132*0.6</f>
        <v>193.356</v>
      </c>
      <c r="I132" s="16" t="n">
        <f aca="false">J132*0.4</f>
        <v>128.904</v>
      </c>
      <c r="J132" s="16" t="n">
        <f aca="false">ROUND(E132,2)*(ROUND(G132,2))</f>
        <v>322.26</v>
      </c>
    </row>
    <row r="133" customFormat="false" ht="46.25" hidden="false" customHeight="false" outlineLevel="0" collapsed="false">
      <c r="A133" s="39" t="n">
        <v>97902</v>
      </c>
      <c r="B133" s="25" t="s">
        <v>211</v>
      </c>
      <c r="C133" s="26" t="s">
        <v>212</v>
      </c>
      <c r="D133" s="19" t="s">
        <v>99</v>
      </c>
      <c r="E133" s="19" t="n">
        <v>3</v>
      </c>
      <c r="F133" s="16" t="n">
        <v>581.96</v>
      </c>
      <c r="G133" s="16" t="n">
        <f aca="false">F133*1.25</f>
        <v>727.45</v>
      </c>
      <c r="H133" s="16" t="n">
        <f aca="false">J133*0.6</f>
        <v>1309.41</v>
      </c>
      <c r="I133" s="16" t="n">
        <f aca="false">J133*0.4</f>
        <v>872.94</v>
      </c>
      <c r="J133" s="16" t="n">
        <f aca="false">ROUND(E133,2)*(ROUND(G133,2))</f>
        <v>2182.35</v>
      </c>
    </row>
    <row r="134" customFormat="false" ht="35.05" hidden="false" customHeight="false" outlineLevel="0" collapsed="false">
      <c r="A134" s="39" t="n">
        <v>98053</v>
      </c>
      <c r="B134" s="25" t="s">
        <v>213</v>
      </c>
      <c r="C134" s="26" t="s">
        <v>214</v>
      </c>
      <c r="D134" s="19" t="s">
        <v>99</v>
      </c>
      <c r="E134" s="19" t="n">
        <v>1</v>
      </c>
      <c r="F134" s="16" t="n">
        <v>2758.08</v>
      </c>
      <c r="G134" s="16" t="n">
        <f aca="false">F134*1.25</f>
        <v>3447.6</v>
      </c>
      <c r="H134" s="16" t="n">
        <f aca="false">J134*0.6</f>
        <v>2068.56</v>
      </c>
      <c r="I134" s="16" t="n">
        <f aca="false">J134*0.4</f>
        <v>1379.04</v>
      </c>
      <c r="J134" s="16" t="n">
        <f aca="false">ROUND(E134,2)*(ROUND(G134,2))</f>
        <v>3447.6</v>
      </c>
    </row>
    <row r="135" customFormat="false" ht="35.05" hidden="false" customHeight="false" outlineLevel="0" collapsed="false">
      <c r="A135" s="39" t="n">
        <v>98059</v>
      </c>
      <c r="B135" s="25" t="s">
        <v>215</v>
      </c>
      <c r="C135" s="26" t="s">
        <v>216</v>
      </c>
      <c r="D135" s="19" t="s">
        <v>99</v>
      </c>
      <c r="E135" s="19" t="n">
        <v>1</v>
      </c>
      <c r="F135" s="16" t="n">
        <v>3666.53</v>
      </c>
      <c r="G135" s="16" t="n">
        <f aca="false">F135*1.25</f>
        <v>4583.1625</v>
      </c>
      <c r="H135" s="16" t="n">
        <f aca="false">J135*0.6</f>
        <v>2749.896</v>
      </c>
      <c r="I135" s="16" t="n">
        <f aca="false">J135*0.4</f>
        <v>1833.264</v>
      </c>
      <c r="J135" s="16" t="n">
        <f aca="false">ROUND(E135,2)*(ROUND(G135,2))</f>
        <v>4583.16</v>
      </c>
    </row>
    <row r="136" customFormat="false" ht="35.05" hidden="false" customHeight="false" outlineLevel="0" collapsed="false">
      <c r="A136" s="39" t="n">
        <v>98065</v>
      </c>
      <c r="B136" s="25" t="s">
        <v>217</v>
      </c>
      <c r="C136" s="26" t="s">
        <v>218</v>
      </c>
      <c r="D136" s="20" t="s">
        <v>99</v>
      </c>
      <c r="E136" s="20" t="n">
        <v>1</v>
      </c>
      <c r="F136" s="16" t="n">
        <v>6857.77</v>
      </c>
      <c r="G136" s="30" t="n">
        <f aca="false">F136*1.25</f>
        <v>8572.2125</v>
      </c>
      <c r="H136" s="30" t="n">
        <f aca="false">J136*0.6</f>
        <v>5143.326</v>
      </c>
      <c r="I136" s="30" t="n">
        <f aca="false">J136*0.4</f>
        <v>3428.884</v>
      </c>
      <c r="J136" s="30" t="n">
        <f aca="false">ROUND(E136,2)*(ROUND(G136,2))</f>
        <v>8572.21</v>
      </c>
    </row>
    <row r="137" customFormat="false" ht="23.85" hidden="false" customHeight="false" outlineLevel="0" collapsed="false">
      <c r="A137" s="34" t="n">
        <v>94798</v>
      </c>
      <c r="B137" s="25" t="s">
        <v>219</v>
      </c>
      <c r="C137" s="35" t="s">
        <v>220</v>
      </c>
      <c r="D137" s="36" t="s">
        <v>99</v>
      </c>
      <c r="E137" s="36" t="n">
        <v>2</v>
      </c>
      <c r="F137" s="16" t="n">
        <v>288.72</v>
      </c>
      <c r="G137" s="37" t="n">
        <f aca="false">(F137*1.25)</f>
        <v>360.9</v>
      </c>
      <c r="H137" s="38" t="n">
        <f aca="false">J137*0.6</f>
        <v>433.08</v>
      </c>
      <c r="I137" s="38" t="n">
        <f aca="false">J137*0.4</f>
        <v>288.72</v>
      </c>
      <c r="J137" s="38" t="n">
        <f aca="false">ROUND(E137,2)*(ROUND(G137,2))</f>
        <v>721.8</v>
      </c>
    </row>
    <row r="138" customFormat="false" ht="35.05" hidden="false" customHeight="false" outlineLevel="0" collapsed="false">
      <c r="A138" s="17" t="n">
        <v>90443</v>
      </c>
      <c r="B138" s="25" t="s">
        <v>221</v>
      </c>
      <c r="C138" s="18" t="s">
        <v>222</v>
      </c>
      <c r="D138" s="20" t="s">
        <v>32</v>
      </c>
      <c r="E138" s="20" t="n">
        <f aca="false">E140</f>
        <v>33</v>
      </c>
      <c r="F138" s="16" t="n">
        <v>11.36</v>
      </c>
      <c r="G138" s="16" t="n">
        <f aca="false">F138*1.25</f>
        <v>14.2</v>
      </c>
      <c r="H138" s="30" t="n">
        <f aca="false">J138*0.6</f>
        <v>281.16</v>
      </c>
      <c r="I138" s="30" t="n">
        <f aca="false">J138*0.4</f>
        <v>187.44</v>
      </c>
      <c r="J138" s="16" t="n">
        <f aca="false">ROUND(E138,2)*(ROUND(G138,2))</f>
        <v>468.6</v>
      </c>
    </row>
    <row r="139" customFormat="false" ht="68.65" hidden="false" customHeight="false" outlineLevel="0" collapsed="false">
      <c r="A139" s="17" t="n">
        <v>91786</v>
      </c>
      <c r="B139" s="25" t="s">
        <v>223</v>
      </c>
      <c r="C139" s="18" t="s">
        <v>224</v>
      </c>
      <c r="D139" s="20" t="s">
        <v>32</v>
      </c>
      <c r="E139" s="20" t="n">
        <f aca="false">3.1+2.95+3.7+3.7+2+2+(0.55)</f>
        <v>18</v>
      </c>
      <c r="F139" s="16" t="n">
        <v>34.38</v>
      </c>
      <c r="G139" s="16" t="n">
        <f aca="false">F139*1.25</f>
        <v>42.975</v>
      </c>
      <c r="H139" s="30" t="n">
        <f aca="false">J139*0.6</f>
        <v>464.184</v>
      </c>
      <c r="I139" s="30" t="n">
        <f aca="false">J139*0.4</f>
        <v>309.456</v>
      </c>
      <c r="J139" s="16" t="n">
        <f aca="false">ROUND(E139,2)*(ROUND(G139,2))</f>
        <v>773.64</v>
      </c>
    </row>
    <row r="140" customFormat="false" ht="57.45" hidden="false" customHeight="false" outlineLevel="0" collapsed="false">
      <c r="A140" s="17" t="n">
        <v>91785</v>
      </c>
      <c r="B140" s="25" t="s">
        <v>225</v>
      </c>
      <c r="C140" s="18" t="s">
        <v>226</v>
      </c>
      <c r="D140" s="20" t="s">
        <v>32</v>
      </c>
      <c r="E140" s="20" t="n">
        <f aca="false">(2.75*4)+(1.95*2)+1.15+1.15+3.4+3.4+1.55+1.55+2.55+2.55+(0.8)</f>
        <v>33</v>
      </c>
      <c r="F140" s="16" t="n">
        <v>43.5</v>
      </c>
      <c r="G140" s="16" t="n">
        <f aca="false">F140*1.25</f>
        <v>54.375</v>
      </c>
      <c r="H140" s="30" t="n">
        <f aca="false">J140*0.6</f>
        <v>1076.724</v>
      </c>
      <c r="I140" s="30" t="n">
        <f aca="false">J140*0.4</f>
        <v>717.816</v>
      </c>
      <c r="J140" s="16" t="n">
        <f aca="false">ROUND(E140,2)*(ROUND(G140,2))</f>
        <v>1794.54</v>
      </c>
    </row>
    <row r="141" customFormat="false" ht="35.05" hidden="false" customHeight="false" outlineLevel="0" collapsed="false">
      <c r="A141" s="34" t="n">
        <v>94490</v>
      </c>
      <c r="B141" s="25" t="s">
        <v>227</v>
      </c>
      <c r="C141" s="35" t="s">
        <v>228</v>
      </c>
      <c r="D141" s="36" t="s">
        <v>99</v>
      </c>
      <c r="E141" s="36" t="n">
        <v>2</v>
      </c>
      <c r="F141" s="16" t="n">
        <v>66.3</v>
      </c>
      <c r="G141" s="37" t="n">
        <f aca="false">(F141*1.25)</f>
        <v>82.875</v>
      </c>
      <c r="H141" s="38" t="n">
        <f aca="false">J141*0.6</f>
        <v>99.456</v>
      </c>
      <c r="I141" s="38" t="n">
        <f aca="false">J141*0.4</f>
        <v>66.304</v>
      </c>
      <c r="J141" s="38" t="n">
        <f aca="false">ROUND(E141,2)*(ROUND(G141,2))</f>
        <v>165.76</v>
      </c>
    </row>
    <row r="142" customFormat="false" ht="35.05" hidden="false" customHeight="false" outlineLevel="0" collapsed="false">
      <c r="A142" s="34" t="n">
        <v>103049</v>
      </c>
      <c r="B142" s="25" t="s">
        <v>229</v>
      </c>
      <c r="C142" s="35" t="s">
        <v>230</v>
      </c>
      <c r="D142" s="36" t="s">
        <v>99</v>
      </c>
      <c r="E142" s="36" t="n">
        <v>1</v>
      </c>
      <c r="F142" s="16" t="n">
        <v>27.85</v>
      </c>
      <c r="G142" s="37" t="n">
        <f aca="false">(F142*1.25)</f>
        <v>34.8125</v>
      </c>
      <c r="H142" s="38" t="n">
        <f aca="false">J142*0.6</f>
        <v>20.886</v>
      </c>
      <c r="I142" s="38" t="n">
        <f aca="false">J142*0.4</f>
        <v>13.924</v>
      </c>
      <c r="J142" s="38" t="n">
        <f aca="false">ROUND(E142,2)*(ROUND(G142,2))</f>
        <v>34.81</v>
      </c>
    </row>
    <row r="143" customFormat="false" ht="23.85" hidden="false" customHeight="false" outlineLevel="0" collapsed="false">
      <c r="A143" s="34" t="n">
        <v>94496</v>
      </c>
      <c r="B143" s="25" t="s">
        <v>231</v>
      </c>
      <c r="C143" s="35" t="s">
        <v>232</v>
      </c>
      <c r="D143" s="36" t="s">
        <v>99</v>
      </c>
      <c r="E143" s="36" t="n">
        <v>2</v>
      </c>
      <c r="F143" s="16" t="n">
        <v>96.7</v>
      </c>
      <c r="G143" s="37" t="n">
        <f aca="false">(F143*1.25)</f>
        <v>120.875</v>
      </c>
      <c r="H143" s="38" t="n">
        <f aca="false">J143*0.6</f>
        <v>145.056</v>
      </c>
      <c r="I143" s="38" t="n">
        <f aca="false">J143*0.4</f>
        <v>96.704</v>
      </c>
      <c r="J143" s="38" t="n">
        <f aca="false">ROUND(E143,2)*(ROUND(G143,2))</f>
        <v>241.76</v>
      </c>
    </row>
    <row r="144" customFormat="false" ht="13.8" hidden="false" customHeight="false" outlineLevel="0" collapsed="false">
      <c r="A144" s="22"/>
      <c r="B144" s="22"/>
      <c r="C144" s="22"/>
      <c r="D144" s="22"/>
      <c r="E144" s="22"/>
      <c r="F144" s="22"/>
      <c r="G144" s="22"/>
      <c r="H144" s="22"/>
      <c r="I144" s="23" t="s">
        <v>28</v>
      </c>
      <c r="J144" s="24" t="n">
        <f aca="false">SUM(J127:J143)</f>
        <v>28496.432</v>
      </c>
    </row>
    <row r="145" customFormat="false" ht="13.8" hidden="false" customHeight="false" outlineLevel="0" collapsed="false">
      <c r="A145" s="11" t="s">
        <v>233</v>
      </c>
      <c r="B145" s="11"/>
      <c r="C145" s="11"/>
      <c r="D145" s="11"/>
      <c r="E145" s="11"/>
      <c r="F145" s="11"/>
      <c r="G145" s="11"/>
      <c r="H145" s="11"/>
      <c r="I145" s="11"/>
      <c r="J145" s="11"/>
    </row>
    <row r="146" customFormat="false" ht="23.85" hidden="false" customHeight="false" outlineLevel="0" collapsed="false">
      <c r="A146" s="17" t="n">
        <v>91937</v>
      </c>
      <c r="B146" s="40" t="s">
        <v>234</v>
      </c>
      <c r="C146" s="41" t="s">
        <v>235</v>
      </c>
      <c r="D146" s="42" t="s">
        <v>236</v>
      </c>
      <c r="E146" s="20" t="n">
        <v>14</v>
      </c>
      <c r="F146" s="16" t="n">
        <v>11.49</v>
      </c>
      <c r="G146" s="16" t="n">
        <f aca="false">F146*1.25</f>
        <v>14.3625</v>
      </c>
      <c r="H146" s="16" t="n">
        <f aca="false">J146*0.6</f>
        <v>120.624</v>
      </c>
      <c r="I146" s="16" t="n">
        <f aca="false">J146*0.4</f>
        <v>80.416</v>
      </c>
      <c r="J146" s="16" t="n">
        <f aca="false">ROUND(E146,2)*(ROUND(G146,2))</f>
        <v>201.04</v>
      </c>
    </row>
    <row r="147" customFormat="false" ht="35.05" hidden="false" customHeight="false" outlineLevel="0" collapsed="false">
      <c r="A147" s="17" t="n">
        <v>98111</v>
      </c>
      <c r="B147" s="40" t="s">
        <v>237</v>
      </c>
      <c r="C147" s="41" t="s">
        <v>238</v>
      </c>
      <c r="D147" s="42" t="s">
        <v>236</v>
      </c>
      <c r="E147" s="20" t="n">
        <v>1</v>
      </c>
      <c r="F147" s="16" t="n">
        <v>58.31</v>
      </c>
      <c r="G147" s="16" t="n">
        <f aca="false">F147*1.25</f>
        <v>72.8875</v>
      </c>
      <c r="H147" s="16" t="n">
        <f aca="false">J147*0.6</f>
        <v>43.734</v>
      </c>
      <c r="I147" s="16" t="n">
        <f aca="false">J147*0.4</f>
        <v>29.156</v>
      </c>
      <c r="J147" s="16" t="n">
        <f aca="false">ROUND(E147,2)*(ROUND(G147,2))</f>
        <v>72.89</v>
      </c>
    </row>
    <row r="148" customFormat="false" ht="35.05" hidden="false" customHeight="false" outlineLevel="0" collapsed="false">
      <c r="A148" s="17" t="n">
        <v>101877</v>
      </c>
      <c r="B148" s="40" t="s">
        <v>239</v>
      </c>
      <c r="C148" s="41" t="s">
        <v>240</v>
      </c>
      <c r="D148" s="42" t="s">
        <v>236</v>
      </c>
      <c r="E148" s="20" t="n">
        <v>1</v>
      </c>
      <c r="F148" s="16" t="n">
        <v>50.8</v>
      </c>
      <c r="G148" s="16" t="n">
        <f aca="false">F148*1.25</f>
        <v>63.5</v>
      </c>
      <c r="H148" s="16" t="n">
        <f aca="false">J148*0.6</f>
        <v>38.1</v>
      </c>
      <c r="I148" s="16" t="n">
        <f aca="false">J148*0.4</f>
        <v>25.4</v>
      </c>
      <c r="J148" s="16" t="n">
        <f aca="false">ROUND(E148,2)*(ROUND(G148,2))</f>
        <v>63.5</v>
      </c>
    </row>
    <row r="149" customFormat="false" ht="35.05" hidden="false" customHeight="false" outlineLevel="0" collapsed="false">
      <c r="A149" s="17" t="s">
        <v>241</v>
      </c>
      <c r="B149" s="40" t="s">
        <v>242</v>
      </c>
      <c r="C149" s="41" t="s">
        <v>243</v>
      </c>
      <c r="D149" s="42" t="s">
        <v>236</v>
      </c>
      <c r="E149" s="20" t="n">
        <v>6</v>
      </c>
      <c r="F149" s="16" t="n">
        <v>14.23</v>
      </c>
      <c r="G149" s="16" t="n">
        <f aca="false">F149*1.25</f>
        <v>17.7875</v>
      </c>
      <c r="H149" s="16" t="n">
        <f aca="false">J149*0.6</f>
        <v>64.044</v>
      </c>
      <c r="I149" s="16" t="n">
        <f aca="false">J149*0.4</f>
        <v>42.696</v>
      </c>
      <c r="J149" s="16" t="n">
        <f aca="false">ROUND(E149,2)*(ROUND(G149,2))</f>
        <v>106.74</v>
      </c>
    </row>
    <row r="150" customFormat="false" ht="35.05" hidden="false" customHeight="false" outlineLevel="0" collapsed="false">
      <c r="A150" s="17" t="s">
        <v>244</v>
      </c>
      <c r="B150" s="40" t="s">
        <v>245</v>
      </c>
      <c r="C150" s="41" t="s">
        <v>246</v>
      </c>
      <c r="D150" s="42" t="s">
        <v>236</v>
      </c>
      <c r="E150" s="20" t="n">
        <v>1</v>
      </c>
      <c r="F150" s="16" t="n">
        <v>26.1</v>
      </c>
      <c r="G150" s="16" t="n">
        <f aca="false">F150*1.25</f>
        <v>32.625</v>
      </c>
      <c r="H150" s="16" t="n">
        <f aca="false">J150*0.6</f>
        <v>19.578</v>
      </c>
      <c r="I150" s="16" t="n">
        <f aca="false">J150*0.4</f>
        <v>13.052</v>
      </c>
      <c r="J150" s="16" t="n">
        <f aca="false">ROUND(E150,2)*(ROUND(G150,2))</f>
        <v>32.63</v>
      </c>
    </row>
    <row r="151" customFormat="false" ht="46.25" hidden="false" customHeight="false" outlineLevel="0" collapsed="false">
      <c r="A151" s="17" t="s">
        <v>247</v>
      </c>
      <c r="B151" s="40" t="s">
        <v>248</v>
      </c>
      <c r="C151" s="41" t="s">
        <v>249</v>
      </c>
      <c r="D151" s="42" t="s">
        <v>236</v>
      </c>
      <c r="E151" s="20" t="n">
        <v>1</v>
      </c>
      <c r="F151" s="16" t="n">
        <v>24.8</v>
      </c>
      <c r="G151" s="16" t="n">
        <f aca="false">F151*1.25</f>
        <v>31</v>
      </c>
      <c r="H151" s="16" t="n">
        <f aca="false">J151*0.6</f>
        <v>18.6</v>
      </c>
      <c r="I151" s="16" t="n">
        <f aca="false">J151*0.4</f>
        <v>12.4</v>
      </c>
      <c r="J151" s="16" t="n">
        <f aca="false">ROUND(E151,2)*(ROUND(G151,2))</f>
        <v>31</v>
      </c>
    </row>
    <row r="152" customFormat="false" ht="23.85" hidden="false" customHeight="false" outlineLevel="0" collapsed="false">
      <c r="A152" s="17" t="s">
        <v>250</v>
      </c>
      <c r="B152" s="40" t="s">
        <v>251</v>
      </c>
      <c r="C152" s="41" t="s">
        <v>252</v>
      </c>
      <c r="D152" s="42" t="s">
        <v>236</v>
      </c>
      <c r="E152" s="20" t="n">
        <v>1</v>
      </c>
      <c r="F152" s="16" t="n">
        <v>13</v>
      </c>
      <c r="G152" s="16" t="n">
        <f aca="false">F152*1.25</f>
        <v>16.25</v>
      </c>
      <c r="H152" s="16" t="n">
        <f aca="false">J152*0.6</f>
        <v>9.75</v>
      </c>
      <c r="I152" s="16" t="n">
        <f aca="false">J152*0.4</f>
        <v>6.5</v>
      </c>
      <c r="J152" s="16" t="n">
        <f aca="false">ROUND(E152,2)*(ROUND(G152,2))</f>
        <v>16.25</v>
      </c>
    </row>
    <row r="153" customFormat="false" ht="23.85" hidden="false" customHeight="false" outlineLevel="0" collapsed="false">
      <c r="A153" s="17" t="s">
        <v>253</v>
      </c>
      <c r="B153" s="40" t="s">
        <v>254</v>
      </c>
      <c r="C153" s="41" t="s">
        <v>255</v>
      </c>
      <c r="D153" s="42" t="s">
        <v>236</v>
      </c>
      <c r="E153" s="20" t="n">
        <v>1</v>
      </c>
      <c r="F153" s="16" t="n">
        <v>14.35</v>
      </c>
      <c r="G153" s="16" t="n">
        <f aca="false">F153*1.25</f>
        <v>17.9375</v>
      </c>
      <c r="H153" s="16" t="n">
        <f aca="false">J153*0.6</f>
        <v>10.764</v>
      </c>
      <c r="I153" s="16" t="n">
        <f aca="false">J153*0.4</f>
        <v>7.176</v>
      </c>
      <c r="J153" s="16" t="n">
        <f aca="false">ROUND(E153,2)*(ROUND(G153,2))</f>
        <v>17.94</v>
      </c>
    </row>
    <row r="154" customFormat="false" ht="46.25" hidden="false" customHeight="false" outlineLevel="0" collapsed="false">
      <c r="A154" s="17" t="s">
        <v>256</v>
      </c>
      <c r="B154" s="40" t="s">
        <v>257</v>
      </c>
      <c r="C154" s="41" t="s">
        <v>258</v>
      </c>
      <c r="D154" s="42" t="s">
        <v>32</v>
      </c>
      <c r="E154" s="20" t="n">
        <v>30</v>
      </c>
      <c r="F154" s="16" t="n">
        <v>5.93</v>
      </c>
      <c r="G154" s="16" t="n">
        <f aca="false">F154*1.25</f>
        <v>7.4125</v>
      </c>
      <c r="H154" s="16" t="n">
        <f aca="false">J154*0.6</f>
        <v>133.38</v>
      </c>
      <c r="I154" s="16" t="n">
        <f aca="false">J154*0.4</f>
        <v>88.92</v>
      </c>
      <c r="J154" s="16" t="n">
        <f aca="false">ROUND(E154,2)*(ROUND(G154,2))</f>
        <v>222.3</v>
      </c>
    </row>
    <row r="155" customFormat="false" ht="46.25" hidden="false" customHeight="false" outlineLevel="0" collapsed="false">
      <c r="A155" s="17" t="s">
        <v>259</v>
      </c>
      <c r="B155" s="40" t="s">
        <v>260</v>
      </c>
      <c r="C155" s="41" t="s">
        <v>261</v>
      </c>
      <c r="D155" s="42" t="s">
        <v>32</v>
      </c>
      <c r="E155" s="20" t="n">
        <v>12</v>
      </c>
      <c r="F155" s="16" t="n">
        <v>6.81</v>
      </c>
      <c r="G155" s="16" t="n">
        <f aca="false">F155*1.25</f>
        <v>8.5125</v>
      </c>
      <c r="H155" s="16" t="n">
        <f aca="false">J155*0.6</f>
        <v>61.272</v>
      </c>
      <c r="I155" s="16" t="n">
        <f aca="false">J155*0.4</f>
        <v>40.848</v>
      </c>
      <c r="J155" s="16" t="n">
        <f aca="false">ROUND(E155,2)*(ROUND(G155,2))</f>
        <v>102.12</v>
      </c>
    </row>
    <row r="156" customFormat="false" ht="23.85" hidden="false" customHeight="false" outlineLevel="0" collapsed="false">
      <c r="A156" s="17" t="s">
        <v>262</v>
      </c>
      <c r="B156" s="40" t="s">
        <v>263</v>
      </c>
      <c r="C156" s="41" t="s">
        <v>264</v>
      </c>
      <c r="D156" s="42" t="s">
        <v>32</v>
      </c>
      <c r="E156" s="20" t="n">
        <v>16</v>
      </c>
      <c r="F156" s="16" t="n">
        <v>5.7</v>
      </c>
      <c r="G156" s="16" t="n">
        <f aca="false">F156*1.25</f>
        <v>7.125</v>
      </c>
      <c r="H156" s="16" t="n">
        <f aca="false">J156*0.6</f>
        <v>68.448</v>
      </c>
      <c r="I156" s="16" t="n">
        <f aca="false">J156*0.4</f>
        <v>45.632</v>
      </c>
      <c r="J156" s="16" t="n">
        <f aca="false">ROUND(E156,2)*(ROUND(G156,2))</f>
        <v>114.08</v>
      </c>
    </row>
    <row r="157" customFormat="false" ht="23.85" hidden="false" customHeight="false" outlineLevel="0" collapsed="false">
      <c r="A157" s="17" t="s">
        <v>265</v>
      </c>
      <c r="B157" s="40" t="s">
        <v>266</v>
      </c>
      <c r="C157" s="41" t="s">
        <v>267</v>
      </c>
      <c r="D157" s="42" t="s">
        <v>236</v>
      </c>
      <c r="E157" s="20" t="n">
        <v>8</v>
      </c>
      <c r="F157" s="16" t="n">
        <v>3.64</v>
      </c>
      <c r="G157" s="16" t="n">
        <f aca="false">F157*1.25</f>
        <v>4.55</v>
      </c>
      <c r="H157" s="16" t="n">
        <f aca="false">J157*0.6</f>
        <v>21.84</v>
      </c>
      <c r="I157" s="16" t="n">
        <f aca="false">J157*0.4</f>
        <v>14.56</v>
      </c>
      <c r="J157" s="16" t="n">
        <f aca="false">ROUND(E157,2)*(ROUND(G157,2))</f>
        <v>36.4</v>
      </c>
    </row>
    <row r="158" customFormat="false" ht="46.25" hidden="false" customHeight="false" outlineLevel="0" collapsed="false">
      <c r="A158" s="17" t="s">
        <v>268</v>
      </c>
      <c r="B158" s="40" t="s">
        <v>269</v>
      </c>
      <c r="C158" s="41" t="s">
        <v>270</v>
      </c>
      <c r="D158" s="42" t="s">
        <v>32</v>
      </c>
      <c r="E158" s="20" t="n">
        <v>50</v>
      </c>
      <c r="F158" s="16" t="n">
        <v>4.18</v>
      </c>
      <c r="G158" s="16" t="n">
        <f aca="false">F158*1.25</f>
        <v>5.225</v>
      </c>
      <c r="H158" s="16" t="n">
        <f aca="false">J158*0.6</f>
        <v>156.9</v>
      </c>
      <c r="I158" s="16" t="n">
        <f aca="false">J158*0.4</f>
        <v>104.6</v>
      </c>
      <c r="J158" s="16" t="n">
        <f aca="false">ROUND(E158,2)*(ROUND(G158,2))</f>
        <v>261.5</v>
      </c>
    </row>
    <row r="159" customFormat="false" ht="46.25" hidden="false" customHeight="false" outlineLevel="0" collapsed="false">
      <c r="A159" s="17" t="s">
        <v>271</v>
      </c>
      <c r="B159" s="40" t="s">
        <v>272</v>
      </c>
      <c r="C159" s="41" t="s">
        <v>273</v>
      </c>
      <c r="D159" s="42" t="s">
        <v>32</v>
      </c>
      <c r="E159" s="20" t="n">
        <v>30</v>
      </c>
      <c r="F159" s="16" t="n">
        <v>4.13</v>
      </c>
      <c r="G159" s="16" t="n">
        <f aca="false">F159*1.25</f>
        <v>5.1625</v>
      </c>
      <c r="H159" s="16" t="n">
        <f aca="false">J159*0.6</f>
        <v>92.88</v>
      </c>
      <c r="I159" s="16" t="n">
        <f aca="false">J159*0.4</f>
        <v>61.92</v>
      </c>
      <c r="J159" s="16" t="n">
        <f aca="false">ROUND(E159,2)*(ROUND(G159,2))</f>
        <v>154.8</v>
      </c>
    </row>
    <row r="160" customFormat="false" ht="23.85" hidden="false" customHeight="false" outlineLevel="0" collapsed="false">
      <c r="A160" s="17" t="s">
        <v>274</v>
      </c>
      <c r="B160" s="40" t="s">
        <v>275</v>
      </c>
      <c r="C160" s="41" t="s">
        <v>276</v>
      </c>
      <c r="D160" s="42" t="s">
        <v>236</v>
      </c>
      <c r="E160" s="20" t="n">
        <v>1</v>
      </c>
      <c r="F160" s="16" t="n">
        <v>100.88</v>
      </c>
      <c r="G160" s="16" t="n">
        <f aca="false">F160*1.25</f>
        <v>126.1</v>
      </c>
      <c r="H160" s="16" t="n">
        <f aca="false">J160*0.6</f>
        <v>75.66</v>
      </c>
      <c r="I160" s="16" t="n">
        <f aca="false">J160*0.4</f>
        <v>50.44</v>
      </c>
      <c r="J160" s="16" t="n">
        <f aca="false">ROUND(E160,2)*(ROUND(G160,2))</f>
        <v>126.1</v>
      </c>
    </row>
    <row r="161" customFormat="false" ht="35.05" hidden="false" customHeight="false" outlineLevel="0" collapsed="false">
      <c r="A161" s="17" t="s">
        <v>277</v>
      </c>
      <c r="B161" s="40" t="s">
        <v>278</v>
      </c>
      <c r="C161" s="41" t="s">
        <v>279</v>
      </c>
      <c r="D161" s="42" t="s">
        <v>236</v>
      </c>
      <c r="E161" s="20" t="n">
        <v>6</v>
      </c>
      <c r="F161" s="16" t="n">
        <v>17.17</v>
      </c>
      <c r="G161" s="16" t="n">
        <f aca="false">F161*1.25</f>
        <v>21.4625</v>
      </c>
      <c r="H161" s="16" t="n">
        <f aca="false">J161*0.6</f>
        <v>77.256</v>
      </c>
      <c r="I161" s="16" t="n">
        <f aca="false">J161*0.4</f>
        <v>51.504</v>
      </c>
      <c r="J161" s="16" t="n">
        <f aca="false">ROUND(E161,2)*(ROUND(G161,2))</f>
        <v>128.76</v>
      </c>
    </row>
    <row r="162" customFormat="false" ht="35.05" hidden="false" customHeight="false" outlineLevel="0" collapsed="false">
      <c r="A162" s="17" t="s">
        <v>280</v>
      </c>
      <c r="B162" s="40" t="s">
        <v>281</v>
      </c>
      <c r="C162" s="41" t="s">
        <v>282</v>
      </c>
      <c r="D162" s="42" t="s">
        <v>236</v>
      </c>
      <c r="E162" s="20" t="n">
        <v>1</v>
      </c>
      <c r="F162" s="16" t="n">
        <v>39.98</v>
      </c>
      <c r="G162" s="16" t="n">
        <f aca="false">F162*1.25</f>
        <v>49.975</v>
      </c>
      <c r="H162" s="16" t="n">
        <f aca="false">J162*0.6</f>
        <v>29.988</v>
      </c>
      <c r="I162" s="16" t="n">
        <f aca="false">J162*0.4</f>
        <v>19.992</v>
      </c>
      <c r="J162" s="16" t="n">
        <f aca="false">ROUND(E162,2)*(ROUND(G162,2))</f>
        <v>49.98</v>
      </c>
    </row>
    <row r="163" customFormat="false" ht="23.85" hidden="false" customHeight="false" outlineLevel="0" collapsed="false">
      <c r="A163" s="17" t="n">
        <v>97615</v>
      </c>
      <c r="B163" s="40" t="s">
        <v>283</v>
      </c>
      <c r="C163" s="43" t="s">
        <v>284</v>
      </c>
      <c r="D163" s="42" t="s">
        <v>236</v>
      </c>
      <c r="E163" s="20" t="n">
        <v>14</v>
      </c>
      <c r="F163" s="16" t="n">
        <v>68.31</v>
      </c>
      <c r="G163" s="30" t="n">
        <f aca="false">F163*1.25</f>
        <v>85.3875</v>
      </c>
      <c r="H163" s="30" t="n">
        <f aca="false">J163*0.6</f>
        <v>717.276</v>
      </c>
      <c r="I163" s="30" t="n">
        <f aca="false">J163*0.4</f>
        <v>478.184</v>
      </c>
      <c r="J163" s="30" t="n">
        <f aca="false">ROUND(E163,2)*(ROUND(G163,2))</f>
        <v>1195.46</v>
      </c>
    </row>
    <row r="164" customFormat="false" ht="23.85" hidden="false" customHeight="false" outlineLevel="0" collapsed="false">
      <c r="A164" s="17" t="n">
        <v>100860</v>
      </c>
      <c r="B164" s="40" t="s">
        <v>285</v>
      </c>
      <c r="C164" s="43" t="s">
        <v>286</v>
      </c>
      <c r="D164" s="42" t="s">
        <v>236</v>
      </c>
      <c r="E164" s="20" t="n">
        <v>1</v>
      </c>
      <c r="F164" s="16" t="n">
        <v>83.84</v>
      </c>
      <c r="G164" s="30" t="n">
        <f aca="false">F164*1.25</f>
        <v>104.8</v>
      </c>
      <c r="H164" s="30" t="n">
        <f aca="false">J164*0.6</f>
        <v>62.88</v>
      </c>
      <c r="I164" s="30" t="n">
        <f aca="false">J164*0.4</f>
        <v>41.92</v>
      </c>
      <c r="J164" s="30" t="n">
        <f aca="false">ROUND(E164,2)*(ROUND(G164,2))</f>
        <v>104.8</v>
      </c>
    </row>
    <row r="165" customFormat="false" ht="13.8" hidden="false" customHeight="false" outlineLevel="0" collapsed="false">
      <c r="A165" s="22"/>
      <c r="B165" s="22"/>
      <c r="C165" s="22"/>
      <c r="D165" s="22"/>
      <c r="E165" s="22"/>
      <c r="F165" s="22"/>
      <c r="G165" s="22"/>
      <c r="H165" s="22"/>
      <c r="I165" s="23" t="s">
        <v>28</v>
      </c>
      <c r="J165" s="24" t="n">
        <f aca="false">SUM(J146:J164)</f>
        <v>3038.29</v>
      </c>
    </row>
    <row r="166" customFormat="false" ht="13.8" hidden="false" customHeight="false" outlineLevel="0" collapsed="false">
      <c r="A166" s="11" t="s">
        <v>287</v>
      </c>
      <c r="B166" s="11"/>
      <c r="C166" s="11"/>
      <c r="D166" s="11"/>
      <c r="E166" s="11"/>
      <c r="F166" s="11"/>
      <c r="G166" s="11"/>
      <c r="H166" s="11"/>
      <c r="I166" s="11"/>
      <c r="J166" s="11"/>
    </row>
    <row r="167" customFormat="false" ht="35.05" hidden="false" customHeight="false" outlineLevel="0" collapsed="false">
      <c r="A167" s="17" t="n">
        <v>97637</v>
      </c>
      <c r="B167" s="18" t="s">
        <v>288</v>
      </c>
      <c r="C167" s="18" t="s">
        <v>289</v>
      </c>
      <c r="D167" s="19" t="s">
        <v>23</v>
      </c>
      <c r="E167" s="20" t="n">
        <f aca="false">E19</f>
        <v>85.8</v>
      </c>
      <c r="F167" s="16" t="n">
        <v>2.39</v>
      </c>
      <c r="G167" s="16" t="n">
        <f aca="false">F167*1.25</f>
        <v>2.9875</v>
      </c>
      <c r="H167" s="16" t="n">
        <f aca="false">J167*0.6</f>
        <v>153.9252</v>
      </c>
      <c r="I167" s="16" t="n">
        <f aca="false">J167*0.4</f>
        <v>102.6168</v>
      </c>
      <c r="J167" s="16" t="n">
        <f aca="false">ROUND(E167,2)*(ROUND(G167,2))</f>
        <v>256.542</v>
      </c>
    </row>
    <row r="168" customFormat="false" ht="23.85" hidden="false" customHeight="false" outlineLevel="0" collapsed="false">
      <c r="A168" s="17" t="n">
        <v>99814</v>
      </c>
      <c r="B168" s="18" t="s">
        <v>290</v>
      </c>
      <c r="C168" s="18" t="s">
        <v>291</v>
      </c>
      <c r="D168" s="19" t="s">
        <v>23</v>
      </c>
      <c r="E168" s="20" t="n">
        <v>63.89</v>
      </c>
      <c r="F168" s="16" t="n">
        <v>1.74</v>
      </c>
      <c r="G168" s="16" t="n">
        <f aca="false">F168*1.25</f>
        <v>2.175</v>
      </c>
      <c r="H168" s="16" t="n">
        <f aca="false">J168*0.6</f>
        <v>83.56812</v>
      </c>
      <c r="I168" s="16" t="n">
        <f aca="false">J168*0.4</f>
        <v>55.71208</v>
      </c>
      <c r="J168" s="16" t="n">
        <f aca="false">ROUND(E168,2)*(ROUND(G168,2))</f>
        <v>139.2802</v>
      </c>
    </row>
    <row r="169" customFormat="false" ht="23.85" hidden="false" customHeight="false" outlineLevel="0" collapsed="false">
      <c r="A169" s="44" t="s">
        <v>123</v>
      </c>
      <c r="B169" s="18" t="s">
        <v>292</v>
      </c>
      <c r="C169" s="45" t="s">
        <v>293</v>
      </c>
      <c r="D169" s="46" t="s">
        <v>99</v>
      </c>
      <c r="E169" s="47" t="n">
        <v>2</v>
      </c>
      <c r="F169" s="37" t="n">
        <f aca="false">180+(180*0.4)</f>
        <v>252</v>
      </c>
      <c r="G169" s="37" t="n">
        <f aca="false">(F169*1.25)</f>
        <v>315</v>
      </c>
      <c r="H169" s="48" t="n">
        <f aca="false">J169*0.6</f>
        <v>378</v>
      </c>
      <c r="I169" s="48" t="n">
        <f aca="false">J169*0.4</f>
        <v>252</v>
      </c>
      <c r="J169" s="48" t="n">
        <f aca="false">ROUND(E169,2)*(ROUND(G169,2))</f>
        <v>630</v>
      </c>
    </row>
    <row r="170" customFormat="false" ht="13.8" hidden="false" customHeight="false" outlineLevel="0" collapsed="false">
      <c r="A170" s="22"/>
      <c r="B170" s="22"/>
      <c r="C170" s="22"/>
      <c r="D170" s="22"/>
      <c r="E170" s="22"/>
      <c r="F170" s="22"/>
      <c r="G170" s="22"/>
      <c r="H170" s="22"/>
      <c r="I170" s="23" t="s">
        <v>28</v>
      </c>
      <c r="J170" s="24" t="n">
        <f aca="false">SUM(J167:J169)</f>
        <v>1025.8222</v>
      </c>
    </row>
    <row r="171" customFormat="false" ht="13.8" hidden="false" customHeight="false" outlineLevel="0" collapsed="false">
      <c r="A171" s="10"/>
      <c r="B171" s="10"/>
      <c r="C171" s="10"/>
      <c r="D171" s="10"/>
      <c r="E171" s="10"/>
      <c r="F171" s="10"/>
      <c r="G171" s="10" t="s">
        <v>294</v>
      </c>
      <c r="H171" s="10"/>
      <c r="I171" s="10"/>
      <c r="J171" s="49" t="n">
        <f aca="false">J170+J165+J144+J125+J108+J100+J92+J77+J72+J63+J57+J51+J37+J34+J26+J20</f>
        <v>254261.19</v>
      </c>
    </row>
    <row r="172" customFormat="false" ht="13.8" hidden="false" customHeight="true" outlineLevel="0" collapsed="false">
      <c r="A172" s="18"/>
      <c r="B172" s="18"/>
      <c r="C172" s="18"/>
      <c r="D172" s="18"/>
      <c r="E172" s="18"/>
      <c r="F172" s="18"/>
      <c r="G172" s="18"/>
      <c r="H172" s="50" t="s">
        <v>295</v>
      </c>
      <c r="I172" s="50"/>
      <c r="J172" s="51" t="n">
        <f aca="false">J171*0.6</f>
        <v>152556.714</v>
      </c>
    </row>
    <row r="173" customFormat="false" ht="13.8" hidden="false" customHeight="true" outlineLevel="0" collapsed="false">
      <c r="A173" s="18"/>
      <c r="B173" s="18"/>
      <c r="C173" s="18"/>
      <c r="D173" s="18"/>
      <c r="E173" s="18"/>
      <c r="F173" s="18"/>
      <c r="G173" s="18"/>
      <c r="H173" s="50" t="s">
        <v>296</v>
      </c>
      <c r="I173" s="50"/>
      <c r="J173" s="51" t="n">
        <f aca="false">J171*0.4</f>
        <v>101704.476</v>
      </c>
    </row>
    <row r="174" customFormat="false" ht="13.8" hidden="false" customHeight="false" outlineLevel="0" collapsed="false">
      <c r="A174" s="52"/>
      <c r="B174" s="52"/>
      <c r="C174" s="52"/>
      <c r="D174" s="52"/>
      <c r="E174" s="52"/>
      <c r="F174" s="52"/>
      <c r="G174" s="52"/>
      <c r="H174" s="52"/>
      <c r="I174" s="52"/>
      <c r="J174" s="52"/>
    </row>
    <row r="175" customFormat="false" ht="13.8" hidden="false" customHeight="false" outlineLevel="0" collapsed="false">
      <c r="A175" s="53" t="s">
        <v>297</v>
      </c>
      <c r="B175" s="53"/>
      <c r="C175" s="53"/>
      <c r="D175" s="53"/>
      <c r="E175" s="53"/>
      <c r="F175" s="53"/>
      <c r="G175" s="53"/>
      <c r="H175" s="53"/>
      <c r="I175" s="53"/>
      <c r="J175" s="53"/>
    </row>
    <row r="176" customFormat="false" ht="13.8" hidden="false" customHeight="false" outlineLevel="0" collapsed="false">
      <c r="A176" s="52"/>
      <c r="B176" s="52"/>
      <c r="C176" s="52"/>
      <c r="D176" s="52"/>
      <c r="E176" s="52"/>
      <c r="F176" s="52"/>
      <c r="G176" s="52"/>
      <c r="H176" s="52"/>
      <c r="I176" s="52"/>
      <c r="J176" s="52"/>
    </row>
    <row r="177" customFormat="false" ht="13.8" hidden="false" customHeight="false" outlineLevel="0" collapsed="false">
      <c r="A177" s="52"/>
      <c r="B177" s="52"/>
      <c r="C177" s="54" t="s">
        <v>298</v>
      </c>
      <c r="D177" s="55"/>
      <c r="E177" s="55"/>
      <c r="F177" s="55"/>
      <c r="G177" s="55" t="s">
        <v>298</v>
      </c>
      <c r="H177" s="55"/>
      <c r="I177" s="55"/>
      <c r="J177" s="52"/>
    </row>
    <row r="178" customFormat="false" ht="13.8" hidden="false" customHeight="false" outlineLevel="0" collapsed="false">
      <c r="A178" s="52"/>
      <c r="B178" s="52"/>
      <c r="C178" s="54" t="s">
        <v>299</v>
      </c>
      <c r="D178" s="55"/>
      <c r="E178" s="55"/>
      <c r="F178" s="55"/>
      <c r="G178" s="55" t="s">
        <v>300</v>
      </c>
      <c r="H178" s="55"/>
      <c r="I178" s="55"/>
      <c r="J178" s="52"/>
    </row>
    <row r="179" customFormat="false" ht="13.8" hidden="false" customHeight="false" outlineLevel="0" collapsed="false">
      <c r="A179" s="52"/>
      <c r="B179" s="52"/>
      <c r="C179" s="54" t="s">
        <v>301</v>
      </c>
      <c r="D179" s="55"/>
      <c r="E179" s="55"/>
      <c r="F179" s="55"/>
      <c r="G179" s="55" t="s">
        <v>302</v>
      </c>
      <c r="H179" s="55"/>
      <c r="I179" s="55"/>
      <c r="J179" s="52"/>
    </row>
    <row r="180" customFormat="false" ht="13.8" hidden="false" customHeight="false" outlineLevel="0" collapsed="false">
      <c r="A180" s="52"/>
      <c r="B180" s="52"/>
      <c r="C180" s="52"/>
      <c r="D180" s="52"/>
      <c r="E180" s="52"/>
      <c r="F180" s="52"/>
      <c r="G180" s="52"/>
      <c r="H180" s="52"/>
      <c r="I180" s="52"/>
      <c r="J180" s="52"/>
    </row>
    <row r="1048152" customFormat="false" ht="12.8" hidden="false" customHeight="false" outlineLevel="0" collapsed="false"/>
    <row r="1048153" customFormat="false" ht="12.8" hidden="false" customHeight="false" outlineLevel="0" collapsed="false"/>
    <row r="1048154" customFormat="false" ht="12.8" hidden="false" customHeight="false" outlineLevel="0" collapsed="false"/>
    <row r="1048155" customFormat="false" ht="12.8" hidden="false" customHeight="false" outlineLevel="0" collapsed="false"/>
    <row r="1048156" customFormat="false" ht="12.8" hidden="false" customHeight="false" outlineLevel="0" collapsed="false"/>
    <row r="1048157" customFormat="false" ht="12.8" hidden="false" customHeight="false" outlineLevel="0" collapsed="false"/>
    <row r="1048158" customFormat="false" ht="12.8" hidden="false" customHeight="false" outlineLevel="0" collapsed="false"/>
    <row r="1048159" customFormat="false" ht="12.8" hidden="false" customHeight="false" outlineLevel="0" collapsed="false"/>
    <row r="1048160" customFormat="false" ht="12.8" hidden="false" customHeight="false" outlineLevel="0" collapsed="false"/>
    <row r="1048161" customFormat="false" ht="12.8" hidden="false" customHeight="false" outlineLevel="0" collapsed="false"/>
    <row r="1048162" customFormat="false" ht="12.8" hidden="false" customHeight="false" outlineLevel="0" collapsed="false"/>
    <row r="1048163" customFormat="false" ht="12.8" hidden="false" customHeight="false" outlineLevel="0" collapsed="false"/>
    <row r="1048164" customFormat="false" ht="12.8" hidden="false" customHeight="false" outlineLevel="0" collapsed="false"/>
    <row r="1048165" customFormat="false" ht="12.8" hidden="false" customHeight="false" outlineLevel="0" collapsed="false"/>
    <row r="1048166" customFormat="false" ht="12.8" hidden="false" customHeight="false" outlineLevel="0" collapsed="false"/>
    <row r="1048167" customFormat="false" ht="12.8" hidden="false" customHeight="false" outlineLevel="0" collapsed="false"/>
    <row r="1048168" customFormat="false" ht="12.8" hidden="false" customHeight="false" outlineLevel="0" collapsed="false"/>
    <row r="1048169" customFormat="false" ht="12.8" hidden="false" customHeight="false" outlineLevel="0" collapsed="false"/>
    <row r="1048170" customFormat="false" ht="12.8" hidden="false" customHeight="false" outlineLevel="0" collapsed="false"/>
    <row r="1048171" customFormat="false" ht="12.8" hidden="false" customHeight="false" outlineLevel="0" collapsed="false"/>
    <row r="1048172" customFormat="false" ht="12.8" hidden="false" customHeight="false" outlineLevel="0" collapsed="false"/>
    <row r="1048173" customFormat="false" ht="12.8" hidden="false" customHeight="false" outlineLevel="0" collapsed="false"/>
    <row r="1048174" customFormat="false" ht="12.8" hidden="false" customHeight="false" outlineLevel="0" collapsed="false"/>
    <row r="1048175" customFormat="false" ht="12.8" hidden="false" customHeight="false" outlineLevel="0" collapsed="false"/>
    <row r="1048176" customFormat="false" ht="12.8" hidden="false" customHeight="false" outlineLevel="0" collapsed="false"/>
    <row r="1048177" customFormat="false" ht="12.8" hidden="false" customHeight="false" outlineLevel="0" collapsed="false"/>
    <row r="1048178" customFormat="false" ht="12.8" hidden="false" customHeight="false" outlineLevel="0" collapsed="false"/>
    <row r="1048179" customFormat="false" ht="12.8" hidden="false" customHeight="false" outlineLevel="0" collapsed="false"/>
    <row r="1048180" customFormat="false" ht="12.8" hidden="false" customHeight="false" outlineLevel="0" collapsed="false"/>
    <row r="1048181" customFormat="false" ht="12.8" hidden="false" customHeight="false" outlineLevel="0" collapsed="false"/>
    <row r="1048182" customFormat="false" ht="12.8" hidden="false" customHeight="false" outlineLevel="0" collapsed="false"/>
    <row r="1048183" customFormat="false" ht="12.8" hidden="false" customHeight="false" outlineLevel="0" collapsed="false"/>
    <row r="1048184" customFormat="false" ht="12.8" hidden="false" customHeight="false" outlineLevel="0" collapsed="false"/>
    <row r="1048185" customFormat="false" ht="12.8" hidden="false" customHeight="false" outlineLevel="0" collapsed="false"/>
    <row r="1048186" customFormat="false" ht="12.8" hidden="false" customHeight="false" outlineLevel="0" collapsed="false"/>
    <row r="1048187" customFormat="false" ht="12.8" hidden="false" customHeight="false" outlineLevel="0" collapsed="false"/>
    <row r="1048188" customFormat="false" ht="12.8" hidden="false" customHeight="false" outlineLevel="0" collapsed="false"/>
    <row r="1048189" customFormat="false" ht="12.8" hidden="false" customHeight="false" outlineLevel="0" collapsed="false"/>
    <row r="1048190" customFormat="false" ht="12.8" hidden="false" customHeight="false" outlineLevel="0" collapsed="false"/>
    <row r="1048191" customFormat="false" ht="12.8" hidden="false" customHeight="false" outlineLevel="0" collapsed="false"/>
    <row r="1048192" customFormat="false" ht="12.8" hidden="false" customHeight="false" outlineLevel="0" collapsed="false"/>
    <row r="1048193" customFormat="false" ht="12.8" hidden="false" customHeight="false" outlineLevel="0" collapsed="false"/>
    <row r="1048194" customFormat="false" ht="12.8" hidden="false" customHeight="false" outlineLevel="0" collapsed="false"/>
    <row r="1048195" customFormat="false" ht="12.8" hidden="false" customHeight="false" outlineLevel="0" collapsed="false"/>
    <row r="1048196" customFormat="false" ht="12.8" hidden="false" customHeight="false" outlineLevel="0" collapsed="false"/>
    <row r="1048197" customFormat="false" ht="12.8" hidden="false" customHeight="false" outlineLevel="0" collapsed="false"/>
    <row r="1048198" customFormat="false" ht="12.8" hidden="false" customHeight="false" outlineLevel="0" collapsed="false"/>
    <row r="1048199" customFormat="false" ht="12.8" hidden="false" customHeight="false" outlineLevel="0" collapsed="false"/>
    <row r="1048200" customFormat="false" ht="12.8" hidden="false" customHeight="false" outlineLevel="0" collapsed="false"/>
    <row r="1048201" customFormat="false" ht="12.8" hidden="false" customHeight="false" outlineLevel="0" collapsed="false"/>
    <row r="1048202" customFormat="false" ht="12.8" hidden="false" customHeight="false" outlineLevel="0" collapsed="false"/>
    <row r="1048203" customFormat="false" ht="12.8" hidden="false" customHeight="false" outlineLevel="0" collapsed="false"/>
    <row r="1048204" customFormat="false" ht="12.8" hidden="false" customHeight="false" outlineLevel="0" collapsed="false"/>
    <row r="1048205" customFormat="false" ht="12.8" hidden="false" customHeight="false" outlineLevel="0" collapsed="false"/>
    <row r="1048206" customFormat="false" ht="12.8" hidden="false" customHeight="false" outlineLevel="0" collapsed="false"/>
    <row r="1048207" customFormat="false" ht="12.8" hidden="false" customHeight="false" outlineLevel="0" collapsed="false"/>
    <row r="1048208" customFormat="false" ht="12.8" hidden="false" customHeight="false" outlineLevel="0" collapsed="false"/>
    <row r="1048209" customFormat="false" ht="12.8" hidden="false" customHeight="false" outlineLevel="0" collapsed="false"/>
    <row r="1048210" customFormat="false" ht="12.8" hidden="false" customHeight="false" outlineLevel="0" collapsed="false"/>
    <row r="1048211" customFormat="false" ht="12.8" hidden="false" customHeight="false" outlineLevel="0" collapsed="false"/>
    <row r="1048212" customFormat="false" ht="12.8" hidden="false" customHeight="false" outlineLevel="0" collapsed="false"/>
    <row r="1048213" customFormat="false" ht="12.8" hidden="false" customHeight="false" outlineLevel="0" collapsed="false"/>
    <row r="1048214" customFormat="false" ht="12.8" hidden="false" customHeight="false" outlineLevel="0" collapsed="false"/>
    <row r="1048215" customFormat="false" ht="12.8" hidden="false" customHeight="false" outlineLevel="0" collapsed="false"/>
    <row r="1048216" customFormat="false" ht="12.8" hidden="false" customHeight="false" outlineLevel="0" collapsed="false"/>
    <row r="1048217" customFormat="false" ht="12.8" hidden="false" customHeight="false" outlineLevel="0" collapsed="false"/>
    <row r="1048218" customFormat="false" ht="12.8" hidden="false" customHeight="false" outlineLevel="0" collapsed="false"/>
    <row r="1048219" customFormat="false" ht="12.8" hidden="false" customHeight="false" outlineLevel="0" collapsed="false"/>
    <row r="1048220" customFormat="false" ht="12.8" hidden="false" customHeight="false" outlineLevel="0" collapsed="false"/>
    <row r="1048221" customFormat="false" ht="12.8" hidden="false" customHeight="false" outlineLevel="0" collapsed="false"/>
    <row r="1048222" customFormat="false" ht="12.8" hidden="false" customHeight="false" outlineLevel="0" collapsed="false"/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6">
    <mergeCell ref="A1:J4"/>
    <mergeCell ref="A5:J5"/>
    <mergeCell ref="A6:J6"/>
    <mergeCell ref="A7:J7"/>
    <mergeCell ref="A8:J8"/>
    <mergeCell ref="A9:J9"/>
    <mergeCell ref="A10:J10"/>
    <mergeCell ref="A11:J11"/>
    <mergeCell ref="A12:J12"/>
    <mergeCell ref="A13:J13"/>
    <mergeCell ref="A15:J15"/>
    <mergeCell ref="A16:J16"/>
    <mergeCell ref="A20:H20"/>
    <mergeCell ref="A21:J21"/>
    <mergeCell ref="A26:H26"/>
    <mergeCell ref="A27:J27"/>
    <mergeCell ref="A34:H34"/>
    <mergeCell ref="A35:J35"/>
    <mergeCell ref="A37:H37"/>
    <mergeCell ref="A38:J38"/>
    <mergeCell ref="A39:J39"/>
    <mergeCell ref="A44:J44"/>
    <mergeCell ref="A49:J49"/>
    <mergeCell ref="A51:H51"/>
    <mergeCell ref="A52:J52"/>
    <mergeCell ref="A57:H57"/>
    <mergeCell ref="A58:J58"/>
    <mergeCell ref="A63:H63"/>
    <mergeCell ref="A64:J64"/>
    <mergeCell ref="A72:H72"/>
    <mergeCell ref="A73:J73"/>
    <mergeCell ref="A77:H77"/>
    <mergeCell ref="A78:J78"/>
    <mergeCell ref="A79:J79"/>
    <mergeCell ref="A84:J84"/>
    <mergeCell ref="A88:J88"/>
    <mergeCell ref="A92:H92"/>
    <mergeCell ref="A93:J93"/>
    <mergeCell ref="A100:H100"/>
    <mergeCell ref="A101:J101"/>
    <mergeCell ref="A108:H108"/>
    <mergeCell ref="A109:J109"/>
    <mergeCell ref="A125:H125"/>
    <mergeCell ref="A126:J126"/>
    <mergeCell ref="A144:H144"/>
    <mergeCell ref="A145:J145"/>
    <mergeCell ref="A165:H165"/>
    <mergeCell ref="A166:J166"/>
    <mergeCell ref="A170:H170"/>
    <mergeCell ref="G171:I171"/>
    <mergeCell ref="H172:I172"/>
    <mergeCell ref="H173:I173"/>
    <mergeCell ref="A175:J175"/>
    <mergeCell ref="G177:I177"/>
    <mergeCell ref="G178:I178"/>
    <mergeCell ref="G179:I179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5" activeCellId="0" sqref="A1:J35"/>
    </sheetView>
  </sheetViews>
  <sheetFormatPr defaultRowHeight="13.8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27.78"/>
    <col collapsed="false" customWidth="true" hidden="false" outlineLevel="0" max="3" min="3" style="0" width="8.57"/>
    <col collapsed="false" customWidth="true" hidden="false" outlineLevel="0" max="4" min="4" style="0" width="14.15"/>
    <col collapsed="false" customWidth="true" hidden="false" outlineLevel="0" max="5" min="5" style="0" width="10"/>
    <col collapsed="false" customWidth="true" hidden="false" outlineLevel="0" max="6" min="6" style="0" width="11.86"/>
    <col collapsed="false" customWidth="true" hidden="false" outlineLevel="0" max="7" min="7" style="0" width="10.84"/>
    <col collapsed="false" customWidth="true" hidden="false" outlineLevel="0" max="8" min="8" style="0" width="12.14"/>
    <col collapsed="false" customWidth="true" hidden="false" outlineLevel="0" max="9" min="9" style="0" width="8.71"/>
    <col collapsed="false" customWidth="true" hidden="false" outlineLevel="0" max="10" min="10" style="0" width="11.86"/>
    <col collapsed="false" customWidth="true" hidden="false" outlineLevel="0" max="1010" min="11" style="0" width="8.71"/>
    <col collapsed="false" customWidth="true" hidden="false" outlineLevel="0" max="1020" min="1011" style="0" width="11.57"/>
    <col collapsed="false" customWidth="false" hidden="false" outlineLevel="0" max="1025" min="1021" style="0" width="11.52"/>
  </cols>
  <sheetData>
    <row r="1" customFormat="false" ht="13.8" hidden="false" customHeight="false" outlineLevel="0" collapsed="false">
      <c r="A1" s="56"/>
      <c r="B1" s="56"/>
      <c r="C1" s="56"/>
      <c r="D1" s="56"/>
      <c r="E1" s="56"/>
      <c r="F1" s="56"/>
      <c r="G1" s="56"/>
      <c r="H1" s="56"/>
      <c r="I1" s="56"/>
      <c r="J1" s="56"/>
    </row>
    <row r="2" customFormat="false" ht="13.8" hidden="false" customHeight="false" outlineLevel="0" collapsed="false">
      <c r="A2" s="56"/>
      <c r="B2" s="56"/>
      <c r="C2" s="56"/>
      <c r="D2" s="56"/>
      <c r="E2" s="56"/>
      <c r="F2" s="56"/>
      <c r="G2" s="56"/>
      <c r="H2" s="56"/>
      <c r="I2" s="56"/>
      <c r="J2" s="56"/>
    </row>
    <row r="3" customFormat="false" ht="13.8" hidden="false" customHeight="false" outlineLevel="0" collapsed="false">
      <c r="A3" s="56"/>
      <c r="B3" s="56"/>
      <c r="C3" s="56"/>
      <c r="D3" s="56"/>
      <c r="E3" s="56"/>
      <c r="F3" s="56"/>
      <c r="G3" s="56"/>
      <c r="H3" s="56"/>
      <c r="I3" s="56"/>
      <c r="J3" s="56"/>
    </row>
    <row r="4" customFormat="false" ht="13.8" hidden="false" customHeight="false" outlineLevel="0" collapsed="false">
      <c r="A4" s="56"/>
      <c r="B4" s="56"/>
      <c r="C4" s="56"/>
      <c r="D4" s="56"/>
      <c r="E4" s="56"/>
      <c r="F4" s="56"/>
      <c r="G4" s="56"/>
      <c r="H4" s="56"/>
      <c r="I4" s="56"/>
      <c r="J4" s="56"/>
    </row>
    <row r="5" customFormat="false" ht="13.8" hidden="false" customHeight="false" outlineLevel="0" collapsed="false">
      <c r="A5" s="57" t="s">
        <v>303</v>
      </c>
      <c r="B5" s="57"/>
      <c r="C5" s="57"/>
      <c r="D5" s="57"/>
      <c r="E5" s="57"/>
      <c r="F5" s="57"/>
      <c r="G5" s="57"/>
      <c r="H5" s="57"/>
      <c r="I5" s="57"/>
      <c r="J5" s="57"/>
    </row>
    <row r="6" customFormat="false" ht="13.8" hidden="false" customHeight="false" outlineLevel="0" collapsed="false">
      <c r="A6" s="17" t="s">
        <v>304</v>
      </c>
      <c r="B6" s="17"/>
      <c r="C6" s="17"/>
      <c r="D6" s="17"/>
      <c r="E6" s="17"/>
      <c r="F6" s="17"/>
      <c r="G6" s="17"/>
      <c r="H6" s="17"/>
      <c r="I6" s="17"/>
      <c r="J6" s="17"/>
    </row>
    <row r="7" customFormat="false" ht="13.8" hidden="false" customHeight="false" outlineLevel="0" collapsed="false">
      <c r="A7" s="58" t="s">
        <v>2</v>
      </c>
      <c r="B7" s="58"/>
      <c r="C7" s="58"/>
      <c r="D7" s="58"/>
      <c r="E7" s="58"/>
      <c r="F7" s="58"/>
      <c r="G7" s="58"/>
      <c r="H7" s="58"/>
      <c r="I7" s="58"/>
      <c r="J7" s="58"/>
    </row>
    <row r="8" customFormat="false" ht="13.8" hidden="false" customHeight="false" outlineLevel="0" collapsed="false">
      <c r="A8" s="59" t="s">
        <v>305</v>
      </c>
      <c r="B8" s="59"/>
      <c r="C8" s="59"/>
      <c r="D8" s="59"/>
      <c r="E8" s="59"/>
      <c r="F8" s="59"/>
      <c r="G8" s="59"/>
      <c r="H8" s="59"/>
      <c r="I8" s="59"/>
      <c r="J8" s="59"/>
    </row>
    <row r="9" customFormat="false" ht="13.8" hidden="false" customHeight="false" outlineLevel="0" collapsed="false">
      <c r="A9" s="60" t="s">
        <v>306</v>
      </c>
      <c r="B9" s="60"/>
      <c r="C9" s="60"/>
      <c r="D9" s="60"/>
      <c r="E9" s="60"/>
      <c r="F9" s="60"/>
      <c r="G9" s="60"/>
      <c r="H9" s="60"/>
      <c r="I9" s="60"/>
      <c r="J9" s="60"/>
    </row>
    <row r="10" customFormat="false" ht="13.8" hidden="false" customHeight="false" outlineLevel="0" collapsed="false">
      <c r="A10" s="61" t="s">
        <v>307</v>
      </c>
      <c r="B10" s="61"/>
      <c r="C10" s="61" t="s">
        <v>308</v>
      </c>
      <c r="D10" s="61" t="s">
        <v>309</v>
      </c>
      <c r="E10" s="61" t="s">
        <v>308</v>
      </c>
      <c r="F10" s="61" t="s">
        <v>310</v>
      </c>
      <c r="G10" s="61" t="s">
        <v>308</v>
      </c>
      <c r="H10" s="61" t="s">
        <v>311</v>
      </c>
      <c r="I10" s="61" t="s">
        <v>308</v>
      </c>
      <c r="J10" s="61" t="s">
        <v>312</v>
      </c>
    </row>
    <row r="11" customFormat="false" ht="13.8" hidden="false" customHeight="false" outlineLevel="0" collapsed="false">
      <c r="A11" s="62" t="s">
        <v>18</v>
      </c>
      <c r="B11" s="62"/>
      <c r="C11" s="62"/>
      <c r="D11" s="62"/>
      <c r="E11" s="62"/>
      <c r="F11" s="62"/>
      <c r="G11" s="62"/>
      <c r="H11" s="62"/>
      <c r="I11" s="62"/>
      <c r="J11" s="62"/>
    </row>
    <row r="12" customFormat="false" ht="13.8" hidden="false" customHeight="false" outlineLevel="0" collapsed="false">
      <c r="A12" s="63" t="str">
        <f aca="false">Orçamento!A16</f>
        <v>1.0 SERVIÇOS INICIAIS</v>
      </c>
      <c r="B12" s="63"/>
      <c r="C12" s="64" t="n">
        <f aca="false">(D12/D28)</f>
        <v>0.0669421628994972</v>
      </c>
      <c r="D12" s="65" t="n">
        <f aca="false">Orçamento!J20</f>
        <v>17020.794</v>
      </c>
      <c r="E12" s="64" t="n">
        <v>1</v>
      </c>
      <c r="F12" s="65" t="n">
        <f aca="false">D12*E12</f>
        <v>17020.794</v>
      </c>
      <c r="G12" s="64"/>
      <c r="H12" s="65"/>
      <c r="I12" s="66"/>
      <c r="J12" s="67"/>
    </row>
    <row r="13" customFormat="false" ht="13.8" hidden="false" customHeight="false" outlineLevel="0" collapsed="false">
      <c r="A13" s="63" t="str">
        <f aca="false">Orçamento!A21</f>
        <v>2.0 TRABALHOS EM TERRA</v>
      </c>
      <c r="B13" s="63"/>
      <c r="C13" s="64" t="n">
        <f aca="false">(D13/D28)</f>
        <v>0.0216385843234667</v>
      </c>
      <c r="D13" s="65" t="n">
        <f aca="false">Orçamento!J26</f>
        <v>5501.8522</v>
      </c>
      <c r="E13" s="64" t="n">
        <v>1</v>
      </c>
      <c r="F13" s="65" t="n">
        <f aca="false">D13*E13</f>
        <v>5501.8522</v>
      </c>
      <c r="G13" s="64"/>
      <c r="H13" s="65"/>
      <c r="I13" s="68"/>
      <c r="J13" s="69"/>
    </row>
    <row r="14" customFormat="false" ht="13.8" hidden="false" customHeight="false" outlineLevel="0" collapsed="false">
      <c r="A14" s="63" t="str">
        <f aca="false">Orçamento!A27</f>
        <v>3.0 INFRAESTRUTURA</v>
      </c>
      <c r="B14" s="63"/>
      <c r="C14" s="64" t="n">
        <f aca="false">(D14/D28)</f>
        <v>0.105497085103708</v>
      </c>
      <c r="D14" s="65" t="n">
        <f aca="false">Orçamento!J34</f>
        <v>26823.8144</v>
      </c>
      <c r="E14" s="64" t="n">
        <v>1</v>
      </c>
      <c r="F14" s="65" t="n">
        <f aca="false">D14*E14</f>
        <v>26823.8144</v>
      </c>
      <c r="G14" s="64"/>
      <c r="H14" s="65"/>
      <c r="I14" s="68"/>
      <c r="J14" s="69"/>
    </row>
    <row r="15" customFormat="false" ht="13.8" hidden="false" customHeight="false" outlineLevel="0" collapsed="false">
      <c r="A15" s="63" t="str">
        <f aca="false">Orçamento!A35</f>
        <v>4.0 PAREDES</v>
      </c>
      <c r="B15" s="63"/>
      <c r="C15" s="64" t="n">
        <f aca="false">(D15/D28)</f>
        <v>0.0658994666075464</v>
      </c>
      <c r="D15" s="65" t="n">
        <f aca="false">Orçamento!J37</f>
        <v>16755.6768</v>
      </c>
      <c r="E15" s="64" t="n">
        <v>1</v>
      </c>
      <c r="F15" s="65" t="n">
        <f aca="false">D15*E15</f>
        <v>16755.6768</v>
      </c>
      <c r="G15" s="64"/>
      <c r="H15" s="65"/>
      <c r="I15" s="68"/>
      <c r="J15" s="69"/>
    </row>
    <row r="16" customFormat="false" ht="13.8" hidden="false" customHeight="false" outlineLevel="0" collapsed="false">
      <c r="A16" s="63" t="str">
        <f aca="false">Orçamento!A38</f>
        <v>5.0 SUPERESTRUTURA</v>
      </c>
      <c r="B16" s="63"/>
      <c r="C16" s="64" t="n">
        <f aca="false">(D16/D28)</f>
        <v>0.117129754249951</v>
      </c>
      <c r="D16" s="65" t="n">
        <f aca="false">Orçamento!J51</f>
        <v>29781.5507</v>
      </c>
      <c r="E16" s="64" t="n">
        <v>0.55</v>
      </c>
      <c r="F16" s="65" t="n">
        <f aca="false">D16*E16</f>
        <v>16379.852885</v>
      </c>
      <c r="G16" s="64" t="n">
        <v>0.45</v>
      </c>
      <c r="H16" s="65" t="n">
        <f aca="false">D16*G16</f>
        <v>13401.697815</v>
      </c>
      <c r="I16" s="68"/>
      <c r="J16" s="69"/>
    </row>
    <row r="17" customFormat="false" ht="13.8" hidden="false" customHeight="false" outlineLevel="0" collapsed="false">
      <c r="A17" s="63" t="str">
        <f aca="false">Orçamento!A52</f>
        <v>6.0 VERGAS E CONTRAVERGAS</v>
      </c>
      <c r="B17" s="63"/>
      <c r="C17" s="64" t="n">
        <f aca="false">(D17/D28)</f>
        <v>0.0051087733837791</v>
      </c>
      <c r="D17" s="65" t="n">
        <f aca="false">Orçamento!J57</f>
        <v>1298.9628</v>
      </c>
      <c r="E17" s="64" t="n">
        <v>1</v>
      </c>
      <c r="F17" s="65" t="n">
        <f aca="false">D17*E17</f>
        <v>1298.9628</v>
      </c>
      <c r="G17" s="64"/>
      <c r="H17" s="65"/>
      <c r="I17" s="64"/>
      <c r="J17" s="65"/>
    </row>
    <row r="18" customFormat="false" ht="13.8" hidden="false" customHeight="false" outlineLevel="0" collapsed="false">
      <c r="A18" s="63" t="str">
        <f aca="false">Orçamento!A58</f>
        <v>7.0 PLATIBANDA</v>
      </c>
      <c r="B18" s="63"/>
      <c r="C18" s="64" t="n">
        <f aca="false">(D18/D28)</f>
        <v>0.0096107644269265</v>
      </c>
      <c r="D18" s="65" t="n">
        <f aca="false">Orçamento!J63</f>
        <v>2443.6444</v>
      </c>
      <c r="E18" s="64"/>
      <c r="F18" s="65"/>
      <c r="G18" s="64" t="n">
        <v>1</v>
      </c>
      <c r="H18" s="65" t="n">
        <f aca="false">D18*G18</f>
        <v>2443.6444</v>
      </c>
      <c r="I18" s="64"/>
      <c r="J18" s="65"/>
    </row>
    <row r="19" customFormat="false" ht="13.8" hidden="false" customHeight="false" outlineLevel="0" collapsed="false">
      <c r="A19" s="63" t="str">
        <f aca="false">Orçamento!A64</f>
        <v>8.0 COBERTURA</v>
      </c>
      <c r="B19" s="63"/>
      <c r="C19" s="64" t="n">
        <f aca="false">(D19/D28)</f>
        <v>0.0902535813664681</v>
      </c>
      <c r="D19" s="65" t="n">
        <f aca="false">Orçamento!J72</f>
        <v>22947.983</v>
      </c>
      <c r="E19" s="64"/>
      <c r="F19" s="65"/>
      <c r="G19" s="64" t="n">
        <v>1</v>
      </c>
      <c r="H19" s="65" t="n">
        <f aca="false">D19*G19</f>
        <v>22947.983</v>
      </c>
      <c r="I19" s="64"/>
      <c r="J19" s="65"/>
    </row>
    <row r="20" customFormat="false" ht="13.8" hidden="false" customHeight="false" outlineLevel="0" collapsed="false">
      <c r="A20" s="63" t="str">
        <f aca="false">Orçamento!A73</f>
        <v>9.0 PISO</v>
      </c>
      <c r="B20" s="63"/>
      <c r="C20" s="64" t="n">
        <f aca="false">(D20/D28)</f>
        <v>0.0262166664129905</v>
      </c>
      <c r="D20" s="65" t="n">
        <f aca="false">Orçamento!J77</f>
        <v>6665.8808</v>
      </c>
      <c r="E20" s="64"/>
      <c r="F20" s="65"/>
      <c r="G20" s="64"/>
      <c r="H20" s="65"/>
      <c r="I20" s="64" t="n">
        <v>1</v>
      </c>
      <c r="J20" s="65" t="n">
        <f aca="false">D20*I20</f>
        <v>6665.8808</v>
      </c>
    </row>
    <row r="21" customFormat="false" ht="13.8" hidden="false" customHeight="false" outlineLevel="0" collapsed="false">
      <c r="A21" s="63" t="str">
        <f aca="false">Orçamento!A78</f>
        <v>10.0 REVESTIMENTOS</v>
      </c>
      <c r="B21" s="63"/>
      <c r="C21" s="64" t="n">
        <f aca="false">(D21/D28)</f>
        <v>0.153456953457978</v>
      </c>
      <c r="D21" s="65" t="n">
        <f aca="false">Orçamento!J92</f>
        <v>39018.1476</v>
      </c>
      <c r="E21" s="64"/>
      <c r="F21" s="65"/>
      <c r="G21" s="64" t="n">
        <v>0.55</v>
      </c>
      <c r="H21" s="65" t="n">
        <f aca="false">D21*G21</f>
        <v>21459.98118</v>
      </c>
      <c r="I21" s="64" t="n">
        <v>0.45</v>
      </c>
      <c r="J21" s="65" t="n">
        <f aca="false">D21*I21</f>
        <v>17558.16642</v>
      </c>
    </row>
    <row r="22" customFormat="false" ht="13.8" hidden="false" customHeight="false" outlineLevel="0" collapsed="false">
      <c r="A22" s="63" t="str">
        <f aca="false">Orçamento!A93</f>
        <v>11.0 ESQUADRIAS</v>
      </c>
      <c r="B22" s="63"/>
      <c r="C22" s="64" t="n">
        <f aca="false">(D22/D28)</f>
        <v>0.0970227976986972</v>
      </c>
      <c r="D22" s="65" t="n">
        <f aca="false">Orçamento!J100</f>
        <v>24669.132</v>
      </c>
      <c r="E22" s="64"/>
      <c r="F22" s="65"/>
      <c r="G22" s="64"/>
      <c r="H22" s="65"/>
      <c r="I22" s="64" t="n">
        <v>1</v>
      </c>
      <c r="J22" s="65" t="n">
        <f aca="false">D22*I22</f>
        <v>24669.132</v>
      </c>
    </row>
    <row r="23" customFormat="false" ht="13.8" hidden="false" customHeight="false" outlineLevel="0" collapsed="false">
      <c r="A23" s="63" t="str">
        <f aca="false">Orçamento!A101</f>
        <v>12.0 PINTURA</v>
      </c>
      <c r="B23" s="63"/>
      <c r="C23" s="64" t="n">
        <f aca="false">(D23/D28)</f>
        <v>0.021651088787872</v>
      </c>
      <c r="D23" s="65" t="n">
        <f aca="false">Orçamento!J108</f>
        <v>5505.0316</v>
      </c>
      <c r="E23" s="64"/>
      <c r="F23" s="65"/>
      <c r="G23" s="64"/>
      <c r="H23" s="65"/>
      <c r="I23" s="64" t="n">
        <v>1</v>
      </c>
      <c r="J23" s="65" t="n">
        <f aca="false">D23*I23</f>
        <v>5505.0316</v>
      </c>
    </row>
    <row r="24" customFormat="false" ht="13.8" hidden="false" customHeight="false" outlineLevel="0" collapsed="false">
      <c r="A24" s="63" t="str">
        <f aca="false">Orçamento!A109</f>
        <v>13. EQUIPAMENTOS BANHEIROS</v>
      </c>
      <c r="B24" s="63"/>
      <c r="C24" s="64" t="n">
        <f aca="false">(D24/D28)</f>
        <v>0.0915128868074597</v>
      </c>
      <c r="D24" s="65" t="n">
        <f aca="false">Orçamento!J125</f>
        <v>23268.1755</v>
      </c>
      <c r="E24" s="64"/>
      <c r="F24" s="65"/>
      <c r="G24" s="64"/>
      <c r="H24" s="65"/>
      <c r="I24" s="64" t="n">
        <v>1</v>
      </c>
      <c r="J24" s="65" t="n">
        <f aca="false">D24*I24</f>
        <v>23268.1755</v>
      </c>
    </row>
    <row r="25" customFormat="false" ht="13.8" hidden="false" customHeight="false" outlineLevel="0" collapsed="false">
      <c r="A25" s="63" t="str">
        <f aca="false">Orçamento!A126</f>
        <v>14.0 INSTALAÇÕES HIDROSSANITÁRIAS</v>
      </c>
      <c r="B25" s="63"/>
      <c r="C25" s="64" t="n">
        <f aca="false">(D25/D28)</f>
        <v>0.112075429207265</v>
      </c>
      <c r="D25" s="65" t="n">
        <f aca="false">Orçamento!J144</f>
        <v>28496.432</v>
      </c>
      <c r="E25" s="64" t="n">
        <v>0.5</v>
      </c>
      <c r="F25" s="65" t="n">
        <f aca="false">D25*E25</f>
        <v>14248.216</v>
      </c>
      <c r="G25" s="64" t="n">
        <v>0.5</v>
      </c>
      <c r="H25" s="65" t="n">
        <f aca="false">D25*G25</f>
        <v>14248.216</v>
      </c>
      <c r="I25" s="64"/>
      <c r="J25" s="65"/>
    </row>
    <row r="26" customFormat="false" ht="13.8" hidden="false" customHeight="false" outlineLevel="0" collapsed="false">
      <c r="A26" s="63" t="str">
        <f aca="false">Orçamento!A145</f>
        <v>15.0 INSTALAÇÕES ELÉTRICAS</v>
      </c>
      <c r="B26" s="63"/>
      <c r="C26" s="64" t="n">
        <f aca="false">(D26/D28)</f>
        <v>0.0119494839145526</v>
      </c>
      <c r="D26" s="65" t="n">
        <f aca="false">Orçamento!J165</f>
        <v>3038.29</v>
      </c>
      <c r="E26" s="64" t="n">
        <v>0.5</v>
      </c>
      <c r="F26" s="65" t="n">
        <f aca="false">D26*E26</f>
        <v>1519.145</v>
      </c>
      <c r="G26" s="64" t="n">
        <v>0.5</v>
      </c>
      <c r="H26" s="65" t="n">
        <f aca="false">D26*G26</f>
        <v>1519.145</v>
      </c>
      <c r="I26" s="64"/>
      <c r="J26" s="65"/>
    </row>
    <row r="27" customFormat="false" ht="13.8" hidden="false" customHeight="false" outlineLevel="0" collapsed="false">
      <c r="A27" s="63" t="str">
        <f aca="false">Orçamento!A166</f>
        <v>16.0 SERVIÇOS FINAIS</v>
      </c>
      <c r="B27" s="63"/>
      <c r="C27" s="64" t="n">
        <f aca="false">(D27/D28)</f>
        <v>0.00403452135184296</v>
      </c>
      <c r="D27" s="65" t="n">
        <f aca="false">Orçamento!J170</f>
        <v>1025.8222</v>
      </c>
      <c r="E27" s="64"/>
      <c r="F27" s="65"/>
      <c r="G27" s="64"/>
      <c r="H27" s="65"/>
      <c r="I27" s="64" t="n">
        <v>1</v>
      </c>
      <c r="J27" s="65" t="n">
        <f aca="false">D27*I27</f>
        <v>1025.8222</v>
      </c>
    </row>
    <row r="28" customFormat="false" ht="13.8" hidden="false" customHeight="false" outlineLevel="0" collapsed="false">
      <c r="A28" s="57" t="s">
        <v>313</v>
      </c>
      <c r="B28" s="57"/>
      <c r="C28" s="64" t="n">
        <f aca="false">SUM(C12:C27)</f>
        <v>1</v>
      </c>
      <c r="D28" s="65" t="n">
        <f aca="false">SUM(D12:D27)</f>
        <v>254261.19</v>
      </c>
      <c r="E28" s="64" t="n">
        <f aca="false">(C28*F28)/D28</f>
        <v>0.391519893716379</v>
      </c>
      <c r="F28" s="65" t="n">
        <f aca="false">SUM(F12:F27)</f>
        <v>99548.314085</v>
      </c>
      <c r="G28" s="64" t="n">
        <f aca="false">(C28*H28)/D28</f>
        <v>0.298986516168669</v>
      </c>
      <c r="H28" s="65" t="n">
        <f aca="false">SUM(H12:H27)</f>
        <v>76020.667395</v>
      </c>
      <c r="I28" s="64" t="n">
        <f aca="false">(C28*J28)/D28</f>
        <v>0.309493590114952</v>
      </c>
      <c r="J28" s="65" t="n">
        <f aca="false">SUM(J12:J27)</f>
        <v>78692.20852</v>
      </c>
    </row>
    <row r="29" customFormat="false" ht="13.8" hidden="false" customHeight="false" outlineLevel="0" collapsed="false">
      <c r="A29" s="70" t="s">
        <v>314</v>
      </c>
      <c r="B29" s="70"/>
      <c r="C29" s="71" t="n">
        <v>1</v>
      </c>
      <c r="D29" s="72"/>
      <c r="E29" s="73" t="n">
        <f aca="false">E28</f>
        <v>0.391519893716379</v>
      </c>
      <c r="F29" s="74" t="n">
        <f aca="false">F28</f>
        <v>99548.314085</v>
      </c>
      <c r="G29" s="73" t="n">
        <f aca="false">G28+E28</f>
        <v>0.690506409885048</v>
      </c>
      <c r="H29" s="74" t="n">
        <f aca="false">H28+F28</f>
        <v>175568.98148</v>
      </c>
      <c r="I29" s="73" t="n">
        <f aca="false">I28+G28+E28</f>
        <v>1</v>
      </c>
      <c r="J29" s="74" t="n">
        <f aca="false">+J28+H28+F28</f>
        <v>254261.19</v>
      </c>
    </row>
    <row r="30" customFormat="false" ht="13.8" hidden="false" customHeight="false" outlineLevel="0" collapsed="false">
      <c r="A30" s="75"/>
      <c r="B30" s="75"/>
      <c r="C30" s="75"/>
      <c r="D30" s="75"/>
      <c r="E30" s="76"/>
      <c r="F30" s="76"/>
      <c r="G30" s="76"/>
      <c r="H30" s="76"/>
      <c r="I30" s="76"/>
      <c r="J30" s="76"/>
    </row>
    <row r="31" customFormat="false" ht="13.8" hidden="false" customHeight="true" outlineLevel="0" collapsed="false">
      <c r="A31" s="77" t="s">
        <v>297</v>
      </c>
      <c r="B31" s="77"/>
      <c r="C31" s="77"/>
      <c r="D31" s="77"/>
      <c r="E31" s="77"/>
      <c r="F31" s="77"/>
      <c r="G31" s="77"/>
      <c r="H31" s="77"/>
      <c r="I31" s="77"/>
      <c r="J31" s="77"/>
    </row>
    <row r="32" customFormat="false" ht="15" hidden="false" customHeight="true" outlineLevel="0" collapsed="false">
      <c r="A32" s="75"/>
      <c r="B32" s="78"/>
      <c r="C32" s="78"/>
      <c r="D32" s="75"/>
      <c r="E32" s="75"/>
      <c r="F32" s="78"/>
      <c r="G32" s="78"/>
      <c r="H32" s="78"/>
      <c r="I32" s="75"/>
      <c r="J32" s="75"/>
    </row>
    <row r="33" customFormat="false" ht="13.8" hidden="false" customHeight="false" outlineLevel="0" collapsed="false">
      <c r="B33" s="79" t="s">
        <v>298</v>
      </c>
      <c r="C33" s="79"/>
      <c r="D33" s="79"/>
      <c r="G33" s="79" t="s">
        <v>298</v>
      </c>
      <c r="H33" s="79"/>
      <c r="I33" s="79"/>
    </row>
    <row r="34" customFormat="false" ht="13.9" hidden="false" customHeight="true" outlineLevel="0" collapsed="false">
      <c r="B34" s="79" t="s">
        <v>299</v>
      </c>
      <c r="C34" s="79"/>
      <c r="D34" s="79"/>
      <c r="G34" s="79" t="s">
        <v>300</v>
      </c>
      <c r="H34" s="79"/>
      <c r="I34" s="79"/>
    </row>
    <row r="35" customFormat="false" ht="13.9" hidden="false" customHeight="true" outlineLevel="0" collapsed="false">
      <c r="B35" s="79" t="s">
        <v>301</v>
      </c>
      <c r="C35" s="79"/>
      <c r="D35" s="79"/>
      <c r="G35" s="79" t="s">
        <v>302</v>
      </c>
      <c r="H35" s="79"/>
      <c r="I35" s="79"/>
    </row>
    <row r="36" customFormat="false" ht="13.9" hidden="false" customHeight="true" outlineLevel="0" collapsed="false"/>
    <row r="1048576" customFormat="false" ht="12.8" hidden="false" customHeight="false" outlineLevel="0" collapsed="false"/>
  </sheetData>
  <mergeCells count="33">
    <mergeCell ref="A1:J4"/>
    <mergeCell ref="A5:J5"/>
    <mergeCell ref="A6:J6"/>
    <mergeCell ref="A7:J7"/>
    <mergeCell ref="A8:J8"/>
    <mergeCell ref="A9:J9"/>
    <mergeCell ref="A10:B10"/>
    <mergeCell ref="A11:J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B33:D33"/>
    <mergeCell ref="G33:I33"/>
    <mergeCell ref="B34:D34"/>
    <mergeCell ref="G34:I34"/>
    <mergeCell ref="B35:D35"/>
    <mergeCell ref="G35:I3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5" activeCellId="0" sqref="A1:J35"/>
    </sheetView>
  </sheetViews>
  <sheetFormatPr defaultRowHeight="15" zeroHeight="false" outlineLevelRow="0" outlineLevelCol="0"/>
  <cols>
    <col collapsed="false" customWidth="true" hidden="false" outlineLevel="0" max="2" min="1" style="0" width="8.71"/>
    <col collapsed="false" customWidth="true" hidden="false" outlineLevel="0" max="3" min="3" style="0" width="45.98"/>
    <col collapsed="false" customWidth="true" hidden="false" outlineLevel="0" max="1025" min="4" style="0" width="8.71"/>
  </cols>
  <sheetData>
    <row r="1" customFormat="false" ht="15" hidden="false" customHeight="false" outlineLevel="0" collapsed="false">
      <c r="A1" s="25"/>
      <c r="B1" s="9"/>
      <c r="C1" s="80"/>
      <c r="D1" s="19"/>
      <c r="E1" s="20"/>
      <c r="F1" s="19"/>
      <c r="G1" s="81"/>
      <c r="H1" s="19"/>
      <c r="I1" s="19"/>
      <c r="J1" s="81"/>
    </row>
    <row r="2" customFormat="false" ht="15" hidden="false" customHeight="false" outlineLevel="0" collapsed="false">
      <c r="C2" s="82"/>
      <c r="D2" s="19"/>
      <c r="E2" s="20"/>
      <c r="F2" s="19"/>
      <c r="G2" s="81"/>
      <c r="H2" s="19"/>
      <c r="I2" s="19"/>
      <c r="J2" s="81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16824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2018-09-24T17:21:08Z</dcterms:created>
  <dc:creator>TecleEnter</dc:creator>
  <dc:description/>
  <dc:language>pt-BR</dc:language>
  <cp:lastModifiedBy/>
  <cp:lastPrinted>2022-04-25T16:10:42Z</cp:lastPrinted>
  <dcterms:modified xsi:type="dcterms:W3CDTF">2022-04-25T16:12:07Z</dcterms:modified>
  <cp:revision>2770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